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ень 1" sheetId="1" r:id="rId1"/>
    <sheet name="день 2" sheetId="2" r:id="rId2"/>
    <sheet name="день 4" sheetId="3" r:id="rId3"/>
    <sheet name="день 3" sheetId="4" r:id="rId4"/>
    <sheet name="день 5" sheetId="5" r:id="rId5"/>
    <sheet name="день 6" sheetId="6" r:id="rId6"/>
    <sheet name="день 7" sheetId="7" r:id="rId7"/>
    <sheet name="день 8" sheetId="9" r:id="rId8"/>
    <sheet name="день 9" sheetId="8" r:id="rId9"/>
    <sheet name="день 10" sheetId="10" r:id="rId10"/>
    <sheet name="нормы" sheetId="11" r:id="rId11"/>
    <sheet name="БЖУ" sheetId="12" r:id="rId12"/>
    <sheet name="% соотн по приемам пищи" sheetId="13" r:id="rId13"/>
    <sheet name="Лист1" sheetId="14" r:id="rId14"/>
  </sheets>
  <definedNames>
    <definedName name="_xlnm.Print_Area" localSheetId="0">'день 1'!$A$1:$L$106</definedName>
    <definedName name="_xlnm.Print_Area" localSheetId="9">'день 10'!$A$1:$L$109</definedName>
    <definedName name="_xlnm.Print_Area" localSheetId="3">'день 3'!$A$1:$L$125</definedName>
    <definedName name="_xlnm.Print_Area" localSheetId="2">'день 4'!$A$1:$L$120</definedName>
    <definedName name="_xlnm.Print_Area" localSheetId="4">'день 5'!$A$1:$L$107</definedName>
    <definedName name="_xlnm.Print_Area" localSheetId="6">'день 7'!$A$1:$L$111</definedName>
    <definedName name="_xlnm.Print_Area" localSheetId="7">'день 8'!$A$1:$L$118</definedName>
    <definedName name="_xlnm.Print_Area" localSheetId="8">'день 9'!$A$1:$L$108</definedName>
    <definedName name="_xlnm.Print_Area" localSheetId="10">нормы!$A$1:$P$33</definedName>
  </definedNames>
  <calcPr calcId="145621"/>
</workbook>
</file>

<file path=xl/calcChain.xml><?xml version="1.0" encoding="utf-8"?>
<calcChain xmlns="http://schemas.openxmlformats.org/spreadsheetml/2006/main">
  <c r="E18" i="3" l="1"/>
  <c r="D70" i="2" l="1"/>
  <c r="E70" i="2"/>
  <c r="D72" i="2"/>
  <c r="E72" i="2"/>
  <c r="H25" i="1"/>
  <c r="F15" i="13"/>
  <c r="E15" i="13"/>
  <c r="D15" i="13"/>
  <c r="B15" i="13"/>
  <c r="C15" i="13"/>
  <c r="E65" i="1"/>
  <c r="D65" i="1"/>
  <c r="H23" i="10"/>
  <c r="G23" i="10"/>
  <c r="F23" i="10"/>
  <c r="E23" i="10"/>
  <c r="I98" i="10"/>
  <c r="H98" i="10"/>
  <c r="G98" i="10"/>
  <c r="F98" i="10"/>
  <c r="E98" i="10"/>
  <c r="D98" i="10"/>
  <c r="I63" i="10"/>
  <c r="H63" i="10"/>
  <c r="G63" i="10"/>
  <c r="F63" i="10"/>
  <c r="E63" i="10"/>
  <c r="D63" i="10"/>
  <c r="I20" i="10"/>
  <c r="H20" i="10"/>
  <c r="G20" i="10"/>
  <c r="F20" i="10"/>
  <c r="E20" i="10"/>
  <c r="D20" i="10"/>
  <c r="H20" i="8"/>
  <c r="G20" i="8"/>
  <c r="F20" i="8"/>
  <c r="E20" i="8"/>
  <c r="H106" i="9"/>
  <c r="G106" i="9"/>
  <c r="F106" i="9"/>
  <c r="E106" i="9"/>
  <c r="E79" i="9"/>
  <c r="I25" i="9"/>
  <c r="E25" i="9"/>
  <c r="D25" i="9"/>
  <c r="I99" i="7"/>
  <c r="G99" i="7"/>
  <c r="F99" i="7"/>
  <c r="E99" i="7"/>
  <c r="D99" i="7"/>
  <c r="E77" i="7"/>
  <c r="I23" i="7"/>
  <c r="E23" i="7"/>
  <c r="D23" i="7"/>
  <c r="E77" i="6"/>
  <c r="H25" i="5"/>
  <c r="G25" i="5"/>
  <c r="F25" i="5"/>
  <c r="E25" i="5"/>
  <c r="I25" i="2"/>
  <c r="G25" i="2"/>
  <c r="F25" i="2"/>
  <c r="E25" i="2"/>
  <c r="D92" i="1"/>
  <c r="I92" i="1"/>
  <c r="G92" i="1"/>
  <c r="I96" i="5"/>
  <c r="H96" i="5"/>
  <c r="G96" i="5"/>
  <c r="F96" i="5"/>
  <c r="E96" i="5"/>
  <c r="D96" i="5"/>
  <c r="I65" i="5"/>
  <c r="H65" i="5"/>
  <c r="G65" i="5"/>
  <c r="F65" i="5"/>
  <c r="E65" i="5"/>
  <c r="D65" i="5"/>
  <c r="I22" i="5"/>
  <c r="H22" i="5"/>
  <c r="G22" i="5"/>
  <c r="F22" i="5"/>
  <c r="E22" i="5"/>
  <c r="D22" i="5"/>
  <c r="E92" i="4"/>
  <c r="H24" i="4"/>
  <c r="G24" i="4"/>
  <c r="F24" i="4"/>
  <c r="E24" i="4"/>
  <c r="O20" i="11" l="1"/>
  <c r="E80" i="2"/>
  <c r="F26" i="2"/>
  <c r="O6" i="11"/>
  <c r="B15" i="12"/>
  <c r="E70" i="1"/>
  <c r="P6" i="11" l="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P5" i="11"/>
  <c r="O5" i="11"/>
  <c r="E15" i="12" l="1"/>
  <c r="D15" i="12"/>
  <c r="C15" i="12"/>
  <c r="I73" i="6" l="1"/>
  <c r="H73" i="6"/>
  <c r="G73" i="6"/>
  <c r="F73" i="6"/>
  <c r="E73" i="6"/>
  <c r="D73" i="6"/>
  <c r="I97" i="6"/>
  <c r="H97" i="6"/>
  <c r="G97" i="6"/>
  <c r="F97" i="6"/>
  <c r="E97" i="6"/>
  <c r="D97" i="6"/>
  <c r="D27" i="9" l="1"/>
  <c r="C99" i="6" l="1"/>
  <c r="D12" i="4" l="1"/>
  <c r="E12" i="4"/>
  <c r="I16" i="9"/>
  <c r="G16" i="9"/>
  <c r="F16" i="9"/>
  <c r="E16" i="9"/>
  <c r="D16" i="9"/>
  <c r="I16" i="6"/>
  <c r="G16" i="6"/>
  <c r="F16" i="6"/>
  <c r="E16" i="6"/>
  <c r="D16" i="6"/>
  <c r="I99" i="10" l="1"/>
  <c r="H99" i="10"/>
  <c r="G99" i="10"/>
  <c r="F99" i="10"/>
  <c r="E99" i="10"/>
  <c r="D99" i="10"/>
  <c r="I108" i="9"/>
  <c r="H108" i="9"/>
  <c r="G108" i="9"/>
  <c r="F108" i="9"/>
  <c r="E108" i="9"/>
  <c r="D108" i="9"/>
  <c r="I107" i="9"/>
  <c r="H107" i="9"/>
  <c r="G107" i="9"/>
  <c r="F107" i="9"/>
  <c r="E107" i="9"/>
  <c r="D107" i="9"/>
  <c r="I98" i="8"/>
  <c r="H98" i="8"/>
  <c r="G98" i="8"/>
  <c r="F98" i="8"/>
  <c r="E98" i="8"/>
  <c r="D98" i="8"/>
  <c r="I97" i="8"/>
  <c r="H97" i="8"/>
  <c r="H99" i="8" s="1"/>
  <c r="G97" i="8"/>
  <c r="G99" i="8" s="1"/>
  <c r="F97" i="8"/>
  <c r="F99" i="8" s="1"/>
  <c r="E97" i="8"/>
  <c r="D97" i="8"/>
  <c r="I101" i="7"/>
  <c r="H101" i="7"/>
  <c r="G101" i="7"/>
  <c r="F101" i="7"/>
  <c r="E101" i="7"/>
  <c r="D101" i="7"/>
  <c r="I98" i="6"/>
  <c r="H98" i="6"/>
  <c r="G98" i="6"/>
  <c r="F98" i="6"/>
  <c r="E98" i="6"/>
  <c r="D98" i="6"/>
  <c r="I97" i="5"/>
  <c r="H97" i="5"/>
  <c r="G97" i="5"/>
  <c r="F97" i="5"/>
  <c r="E97" i="5"/>
  <c r="D97" i="5"/>
  <c r="I115" i="4"/>
  <c r="H115" i="4"/>
  <c r="G115" i="4"/>
  <c r="F115" i="4"/>
  <c r="E115" i="4"/>
  <c r="D115" i="4"/>
  <c r="I110" i="3"/>
  <c r="H110" i="3"/>
  <c r="G110" i="3"/>
  <c r="F110" i="3"/>
  <c r="E110" i="3"/>
  <c r="D110" i="3"/>
  <c r="I109" i="3"/>
  <c r="H109" i="3"/>
  <c r="G109" i="3"/>
  <c r="F109" i="3"/>
  <c r="E109" i="3"/>
  <c r="D109" i="3"/>
  <c r="I113" i="2"/>
  <c r="H113" i="2"/>
  <c r="G113" i="2"/>
  <c r="F113" i="2"/>
  <c r="E113" i="2"/>
  <c r="D113" i="2"/>
  <c r="I112" i="2"/>
  <c r="H112" i="2"/>
  <c r="G112" i="2"/>
  <c r="F112" i="2"/>
  <c r="E112" i="2"/>
  <c r="D112" i="2"/>
  <c r="I64" i="10"/>
  <c r="H64" i="10"/>
  <c r="G64" i="10"/>
  <c r="F64" i="10"/>
  <c r="E64" i="10"/>
  <c r="D64" i="10"/>
  <c r="I65" i="9"/>
  <c r="H65" i="9"/>
  <c r="G65" i="9"/>
  <c r="F65" i="9"/>
  <c r="E65" i="9"/>
  <c r="D65" i="9"/>
  <c r="I54" i="8"/>
  <c r="H54" i="8"/>
  <c r="G54" i="8"/>
  <c r="F54" i="8"/>
  <c r="E54" i="8"/>
  <c r="D54" i="8"/>
  <c r="I53" i="8"/>
  <c r="H53" i="8"/>
  <c r="G53" i="8"/>
  <c r="F53" i="8"/>
  <c r="E53" i="8"/>
  <c r="D53" i="8"/>
  <c r="I68" i="7"/>
  <c r="H68" i="7"/>
  <c r="G68" i="7"/>
  <c r="F68" i="7"/>
  <c r="E68" i="7"/>
  <c r="D68" i="7"/>
  <c r="I67" i="7"/>
  <c r="H67" i="7"/>
  <c r="G67" i="7"/>
  <c r="F67" i="7"/>
  <c r="E67" i="7"/>
  <c r="D67" i="7"/>
  <c r="I74" i="6"/>
  <c r="H74" i="6"/>
  <c r="G74" i="6"/>
  <c r="F74" i="6"/>
  <c r="E74" i="6"/>
  <c r="D74" i="6"/>
  <c r="I66" i="5"/>
  <c r="H66" i="5"/>
  <c r="G66" i="5"/>
  <c r="F66" i="5"/>
  <c r="E66" i="5"/>
  <c r="D66" i="5"/>
  <c r="I71" i="4"/>
  <c r="H71" i="4"/>
  <c r="G71" i="4"/>
  <c r="F71" i="4"/>
  <c r="E71" i="4"/>
  <c r="D71" i="4"/>
  <c r="I62" i="3"/>
  <c r="H62" i="3"/>
  <c r="G62" i="3"/>
  <c r="F62" i="3"/>
  <c r="E62" i="3"/>
  <c r="D62" i="3"/>
  <c r="I67" i="2"/>
  <c r="H67" i="2"/>
  <c r="G67" i="2"/>
  <c r="F67" i="2"/>
  <c r="E67" i="2"/>
  <c r="D67" i="2"/>
  <c r="I21" i="10"/>
  <c r="H21" i="10"/>
  <c r="G21" i="10"/>
  <c r="F21" i="10"/>
  <c r="E21" i="10"/>
  <c r="D21" i="10"/>
  <c r="I18" i="8"/>
  <c r="H18" i="8"/>
  <c r="G18" i="8"/>
  <c r="F18" i="8"/>
  <c r="E18" i="8"/>
  <c r="D18" i="8"/>
  <c r="I17" i="8"/>
  <c r="H17" i="8"/>
  <c r="G17" i="8"/>
  <c r="F17" i="8"/>
  <c r="E17" i="8"/>
  <c r="D17" i="8"/>
  <c r="I21" i="7"/>
  <c r="H21" i="7"/>
  <c r="G21" i="7"/>
  <c r="F21" i="7"/>
  <c r="E21" i="7"/>
  <c r="D21" i="7"/>
  <c r="I22" i="6"/>
  <c r="H22" i="6"/>
  <c r="G22" i="6"/>
  <c r="F22" i="6"/>
  <c r="E22" i="6"/>
  <c r="D22" i="6"/>
  <c r="I23" i="5"/>
  <c r="H23" i="5"/>
  <c r="G23" i="5"/>
  <c r="F23" i="5"/>
  <c r="E23" i="5"/>
  <c r="D23" i="5"/>
  <c r="I22" i="4"/>
  <c r="H22" i="4"/>
  <c r="G22" i="4"/>
  <c r="F22" i="4"/>
  <c r="E22" i="4"/>
  <c r="D22" i="4"/>
  <c r="I21" i="4"/>
  <c r="H21" i="4"/>
  <c r="G21" i="4"/>
  <c r="F21" i="4"/>
  <c r="E21" i="4"/>
  <c r="D21" i="4"/>
  <c r="I21" i="3"/>
  <c r="H21" i="3"/>
  <c r="G21" i="3"/>
  <c r="F21" i="3"/>
  <c r="E21" i="3"/>
  <c r="D21" i="3"/>
  <c r="I23" i="2"/>
  <c r="H23" i="2"/>
  <c r="G23" i="2"/>
  <c r="F23" i="2"/>
  <c r="E23" i="2"/>
  <c r="D23" i="2"/>
  <c r="I94" i="1"/>
  <c r="H94" i="1"/>
  <c r="G94" i="1"/>
  <c r="F94" i="1"/>
  <c r="E94" i="1"/>
  <c r="D94" i="1"/>
  <c r="I22" i="1"/>
  <c r="H22" i="1"/>
  <c r="G22" i="1"/>
  <c r="F22" i="1"/>
  <c r="E22" i="1"/>
  <c r="D22" i="1"/>
  <c r="I99" i="8" l="1"/>
  <c r="D35" i="3"/>
  <c r="E90" i="10" l="1"/>
  <c r="E91" i="10"/>
  <c r="E92" i="10"/>
  <c r="D92" i="10"/>
  <c r="D91" i="10"/>
  <c r="D90" i="10"/>
  <c r="E89" i="10"/>
  <c r="E88" i="10"/>
  <c r="I78" i="10"/>
  <c r="F78" i="10"/>
  <c r="E79" i="10"/>
  <c r="E80" i="10"/>
  <c r="E81" i="10"/>
  <c r="E82" i="10"/>
  <c r="E83" i="10"/>
  <c r="D83" i="10"/>
  <c r="D82" i="10"/>
  <c r="D81" i="10"/>
  <c r="D80" i="10"/>
  <c r="D79" i="10"/>
  <c r="E75" i="10"/>
  <c r="D75" i="10"/>
  <c r="E72" i="10"/>
  <c r="E73" i="10"/>
  <c r="D73" i="10"/>
  <c r="D72" i="10"/>
  <c r="H78" i="10"/>
  <c r="G78" i="10"/>
  <c r="E76" i="10"/>
  <c r="E74" i="10"/>
  <c r="D74" i="10"/>
  <c r="E71" i="10"/>
  <c r="D71" i="10"/>
  <c r="H47" i="10"/>
  <c r="F47" i="10"/>
  <c r="E52" i="10"/>
  <c r="D52" i="10"/>
  <c r="E51" i="10"/>
  <c r="E49" i="10"/>
  <c r="E50" i="10"/>
  <c r="D50" i="10"/>
  <c r="D49" i="10"/>
  <c r="E48" i="10"/>
  <c r="D48" i="10"/>
  <c r="E42" i="10"/>
  <c r="E43" i="10"/>
  <c r="D43" i="10"/>
  <c r="D42" i="10"/>
  <c r="E41" i="10"/>
  <c r="D41" i="10"/>
  <c r="E40" i="10"/>
  <c r="D40" i="10"/>
  <c r="E39" i="10"/>
  <c r="D39" i="10"/>
  <c r="E38" i="10"/>
  <c r="D38" i="10"/>
  <c r="I25" i="10"/>
  <c r="H25" i="10"/>
  <c r="G25" i="10"/>
  <c r="F25" i="10"/>
  <c r="E28" i="10"/>
  <c r="E29" i="10"/>
  <c r="E31" i="10"/>
  <c r="D31" i="10"/>
  <c r="D29" i="10"/>
  <c r="D28" i="10"/>
  <c r="E27" i="10"/>
  <c r="D27" i="10"/>
  <c r="E26" i="10"/>
  <c r="E19" i="10"/>
  <c r="E17" i="10"/>
  <c r="D19" i="10"/>
  <c r="E18" i="10"/>
  <c r="D18" i="10"/>
  <c r="D17" i="10"/>
  <c r="I15" i="10"/>
  <c r="E8" i="10"/>
  <c r="E11" i="10"/>
  <c r="D11" i="10"/>
  <c r="E10" i="10"/>
  <c r="E9" i="10"/>
  <c r="D9" i="10"/>
  <c r="I7" i="10"/>
  <c r="E92" i="9"/>
  <c r="E91" i="9"/>
  <c r="E88" i="9"/>
  <c r="E89" i="9"/>
  <c r="D89" i="9"/>
  <c r="D88" i="9"/>
  <c r="E85" i="9"/>
  <c r="F53" i="9"/>
  <c r="E54" i="9"/>
  <c r="E55" i="9"/>
  <c r="E56" i="9"/>
  <c r="D56" i="9"/>
  <c r="D54" i="9"/>
  <c r="D55" i="9"/>
  <c r="E57" i="9"/>
  <c r="I53" i="9"/>
  <c r="H53" i="9"/>
  <c r="G53" i="9"/>
  <c r="I42" i="9"/>
  <c r="H42" i="9"/>
  <c r="G42" i="9"/>
  <c r="F42" i="9"/>
  <c r="E50" i="9"/>
  <c r="E51" i="9"/>
  <c r="D51" i="9"/>
  <c r="E49" i="9"/>
  <c r="D49" i="9"/>
  <c r="E47" i="9"/>
  <c r="E48" i="9"/>
  <c r="D48" i="9"/>
  <c r="D47" i="9"/>
  <c r="E46" i="9"/>
  <c r="E45" i="9"/>
  <c r="E44" i="9"/>
  <c r="D44" i="9"/>
  <c r="E38" i="9"/>
  <c r="D38" i="9"/>
  <c r="E36" i="9"/>
  <c r="D36" i="9"/>
  <c r="E35" i="9"/>
  <c r="D35" i="9"/>
  <c r="E33" i="9"/>
  <c r="D33" i="9"/>
  <c r="E32" i="9"/>
  <c r="E73" i="8"/>
  <c r="E72" i="8"/>
  <c r="E69" i="8"/>
  <c r="E70" i="8"/>
  <c r="E71" i="8"/>
  <c r="D71" i="8"/>
  <c r="D70" i="8"/>
  <c r="D69" i="8"/>
  <c r="E68" i="8"/>
  <c r="E67" i="8"/>
  <c r="D67" i="8"/>
  <c r="E66" i="8"/>
  <c r="E62" i="8"/>
  <c r="E64" i="8"/>
  <c r="E65" i="8"/>
  <c r="D65" i="8"/>
  <c r="D64" i="8"/>
  <c r="D62" i="8"/>
  <c r="E61" i="8"/>
  <c r="E60" i="8"/>
  <c r="E59" i="8"/>
  <c r="E58" i="8"/>
  <c r="D60" i="8"/>
  <c r="D59" i="8"/>
  <c r="D58" i="8"/>
  <c r="E57" i="8"/>
  <c r="E48" i="8"/>
  <c r="E50" i="8"/>
  <c r="D50" i="8"/>
  <c r="D48" i="8"/>
  <c r="I79" i="7"/>
  <c r="H79" i="7"/>
  <c r="G79" i="7"/>
  <c r="E81" i="7"/>
  <c r="E82" i="7"/>
  <c r="E83" i="7"/>
  <c r="D83" i="7"/>
  <c r="D82" i="7"/>
  <c r="D81" i="7"/>
  <c r="E80" i="7"/>
  <c r="D80" i="7"/>
  <c r="I70" i="7"/>
  <c r="H70" i="7"/>
  <c r="G70" i="7"/>
  <c r="D76" i="7"/>
  <c r="D74" i="7"/>
  <c r="H57" i="7"/>
  <c r="G57" i="7"/>
  <c r="E60" i="7"/>
  <c r="D60" i="7"/>
  <c r="D59" i="7"/>
  <c r="E58" i="7"/>
  <c r="D58" i="7"/>
  <c r="I51" i="7"/>
  <c r="H51" i="7"/>
  <c r="G51" i="7"/>
  <c r="D56" i="7"/>
  <c r="D55" i="7"/>
  <c r="D53" i="7"/>
  <c r="D52" i="7"/>
  <c r="D43" i="7"/>
  <c r="E47" i="7"/>
  <c r="G42" i="7"/>
  <c r="E40" i="7"/>
  <c r="D40" i="7"/>
  <c r="E38" i="7"/>
  <c r="E39" i="7"/>
  <c r="D39" i="7"/>
  <c r="D38" i="7"/>
  <c r="E35" i="7"/>
  <c r="D35" i="7"/>
  <c r="E25" i="7"/>
  <c r="D25" i="7"/>
  <c r="D19" i="7"/>
  <c r="E19" i="7"/>
  <c r="I18" i="7"/>
  <c r="H18" i="7"/>
  <c r="G18" i="7"/>
  <c r="I17" i="7"/>
  <c r="H17" i="7"/>
  <c r="G17" i="7"/>
  <c r="F17" i="7"/>
  <c r="E17" i="7"/>
  <c r="D17" i="7"/>
  <c r="E92" i="6"/>
  <c r="E91" i="6"/>
  <c r="D91" i="6"/>
  <c r="E90" i="6"/>
  <c r="E88" i="6"/>
  <c r="E87" i="6"/>
  <c r="D87" i="6"/>
  <c r="E86" i="6"/>
  <c r="D86" i="6"/>
  <c r="E84" i="6"/>
  <c r="D84" i="6"/>
  <c r="E82" i="6"/>
  <c r="D82" i="6"/>
  <c r="I79" i="6"/>
  <c r="H79" i="6"/>
  <c r="G79" i="6"/>
  <c r="F79" i="6"/>
  <c r="E80" i="6"/>
  <c r="I76" i="6"/>
  <c r="H76" i="6"/>
  <c r="G76" i="6"/>
  <c r="F76" i="6"/>
  <c r="E76" i="6"/>
  <c r="D76" i="6"/>
  <c r="E67" i="6"/>
  <c r="D67" i="6"/>
  <c r="E62" i="6"/>
  <c r="E61" i="6"/>
  <c r="D61" i="6"/>
  <c r="H24" i="6"/>
  <c r="G24" i="6"/>
  <c r="F24" i="6"/>
  <c r="E24" i="6"/>
  <c r="I47" i="6"/>
  <c r="H47" i="6"/>
  <c r="G47" i="6"/>
  <c r="F47" i="6"/>
  <c r="E49" i="6"/>
  <c r="E50" i="6"/>
  <c r="E51" i="6"/>
  <c r="E52" i="6"/>
  <c r="D52" i="6"/>
  <c r="D51" i="6"/>
  <c r="D50" i="6"/>
  <c r="D49" i="6"/>
  <c r="E48" i="6"/>
  <c r="D48" i="6"/>
  <c r="E43" i="6"/>
  <c r="E46" i="6"/>
  <c r="D46" i="6"/>
  <c r="E42" i="6"/>
  <c r="D42" i="6"/>
  <c r="E41" i="6"/>
  <c r="D41" i="6"/>
  <c r="D40" i="6"/>
  <c r="E39" i="6"/>
  <c r="E38" i="6"/>
  <c r="E42" i="5"/>
  <c r="D46" i="4"/>
  <c r="I26" i="6"/>
  <c r="E33" i="6"/>
  <c r="E31" i="6"/>
  <c r="D33" i="6"/>
  <c r="E32" i="6"/>
  <c r="D32" i="6"/>
  <c r="D31" i="6"/>
  <c r="E30" i="6"/>
  <c r="D30" i="6"/>
  <c r="E29" i="6"/>
  <c r="D29" i="6"/>
  <c r="E28" i="6"/>
  <c r="H26" i="6"/>
  <c r="G26" i="6"/>
  <c r="F26" i="6"/>
  <c r="G72" i="5"/>
  <c r="E78" i="5"/>
  <c r="E80" i="5"/>
  <c r="D80" i="5"/>
  <c r="D78" i="5"/>
  <c r="E77" i="5"/>
  <c r="E76" i="5"/>
  <c r="D76" i="5"/>
  <c r="E74" i="5"/>
  <c r="E75" i="5"/>
  <c r="D75" i="5"/>
  <c r="D74" i="5"/>
  <c r="D73" i="5"/>
  <c r="H19" i="2"/>
  <c r="I19" i="2"/>
  <c r="G19" i="2"/>
  <c r="E20" i="2"/>
  <c r="D20" i="2"/>
  <c r="I18" i="2"/>
  <c r="H18" i="2"/>
  <c r="G18" i="2"/>
  <c r="F18" i="2"/>
  <c r="E18" i="2"/>
  <c r="D18" i="2"/>
  <c r="H71" i="5"/>
  <c r="I58" i="5"/>
  <c r="H58" i="5"/>
  <c r="G58" i="5"/>
  <c r="F58" i="5"/>
  <c r="E63" i="5"/>
  <c r="D63" i="5"/>
  <c r="E62" i="5"/>
  <c r="E59" i="5"/>
  <c r="E60" i="5"/>
  <c r="D60" i="5"/>
  <c r="D59" i="5"/>
  <c r="I45" i="5"/>
  <c r="H45" i="5"/>
  <c r="G45" i="5"/>
  <c r="F45" i="5"/>
  <c r="E49" i="5"/>
  <c r="D50" i="5"/>
  <c r="D49" i="5"/>
  <c r="E48" i="5"/>
  <c r="D48" i="5"/>
  <c r="E47" i="5"/>
  <c r="D47" i="5"/>
  <c r="E46" i="5"/>
  <c r="E39" i="5"/>
  <c r="E40" i="5"/>
  <c r="E41" i="5"/>
  <c r="D42" i="5"/>
  <c r="D41" i="5"/>
  <c r="D40" i="5"/>
  <c r="D39" i="5"/>
  <c r="I27" i="5"/>
  <c r="H27" i="5"/>
  <c r="G27" i="5"/>
  <c r="F27" i="5"/>
  <c r="E110" i="4"/>
  <c r="D110" i="4"/>
  <c r="E109" i="4"/>
  <c r="E106" i="4"/>
  <c r="D106" i="4"/>
  <c r="D104" i="4"/>
  <c r="D103" i="4"/>
  <c r="E107" i="4"/>
  <c r="D107" i="4"/>
  <c r="E105" i="4"/>
  <c r="E104" i="4"/>
  <c r="E103" i="4"/>
  <c r="E102" i="4"/>
  <c r="I101" i="4"/>
  <c r="H101" i="4"/>
  <c r="G101" i="4"/>
  <c r="I94" i="4"/>
  <c r="E99" i="4"/>
  <c r="D99" i="4"/>
  <c r="E98" i="4"/>
  <c r="E96" i="4"/>
  <c r="D96" i="4"/>
  <c r="E95" i="4"/>
  <c r="D95" i="4"/>
  <c r="G61" i="4"/>
  <c r="E64" i="4"/>
  <c r="D64" i="4"/>
  <c r="D63" i="4"/>
  <c r="E62" i="4"/>
  <c r="D62" i="4"/>
  <c r="H49" i="4"/>
  <c r="G49" i="4"/>
  <c r="F49" i="4"/>
  <c r="E60" i="4"/>
  <c r="E59" i="4"/>
  <c r="E57" i="4"/>
  <c r="E46" i="4"/>
  <c r="D43" i="4"/>
  <c r="D42" i="4"/>
  <c r="D41" i="4"/>
  <c r="D40" i="4"/>
  <c r="E37" i="4"/>
  <c r="D37" i="4"/>
  <c r="D36" i="4"/>
  <c r="I26" i="4"/>
  <c r="H26" i="4"/>
  <c r="G26" i="4"/>
  <c r="F26" i="4"/>
  <c r="E30" i="4"/>
  <c r="E31" i="4"/>
  <c r="E32" i="4"/>
  <c r="E33" i="4"/>
  <c r="D33" i="4"/>
  <c r="D32" i="4"/>
  <c r="D31" i="4"/>
  <c r="D30" i="4"/>
  <c r="E29" i="4"/>
  <c r="D29" i="4"/>
  <c r="D27" i="4"/>
  <c r="E28" i="4"/>
  <c r="D28" i="4"/>
  <c r="E27" i="4"/>
  <c r="I16" i="4"/>
  <c r="E17" i="4"/>
  <c r="E18" i="4"/>
  <c r="E19" i="4"/>
  <c r="E20" i="4"/>
  <c r="D20" i="4"/>
  <c r="D19" i="4"/>
  <c r="D18" i="4"/>
  <c r="D17" i="4"/>
  <c r="I15" i="4"/>
  <c r="G15" i="4"/>
  <c r="F15" i="4"/>
  <c r="E15" i="4"/>
  <c r="D15" i="4"/>
  <c r="I7" i="4"/>
  <c r="D11" i="4"/>
  <c r="E11" i="4"/>
  <c r="E10" i="4"/>
  <c r="D10" i="4"/>
  <c r="I91" i="3"/>
  <c r="H91" i="3"/>
  <c r="G91" i="3"/>
  <c r="E101" i="3"/>
  <c r="E102" i="3"/>
  <c r="E104" i="3"/>
  <c r="D104" i="3"/>
  <c r="D102" i="3"/>
  <c r="D101" i="3"/>
  <c r="D100" i="3"/>
  <c r="E100" i="3"/>
  <c r="E99" i="3"/>
  <c r="D99" i="3"/>
  <c r="E98" i="3"/>
  <c r="E96" i="3"/>
  <c r="E95" i="3"/>
  <c r="D95" i="3"/>
  <c r="E94" i="3"/>
  <c r="D94" i="3"/>
  <c r="E93" i="3"/>
  <c r="D93" i="3"/>
  <c r="E92" i="3"/>
  <c r="D92" i="3"/>
  <c r="I84" i="3"/>
  <c r="G84" i="3"/>
  <c r="E89" i="3"/>
  <c r="D89" i="3"/>
  <c r="E87" i="3"/>
  <c r="E86" i="3"/>
  <c r="D86" i="3"/>
  <c r="I52" i="3"/>
  <c r="G52" i="3"/>
  <c r="F52" i="3"/>
  <c r="E54" i="3"/>
  <c r="D54" i="3"/>
  <c r="H42" i="3"/>
  <c r="G42" i="3"/>
  <c r="F42" i="3"/>
  <c r="E50" i="3"/>
  <c r="D50" i="3"/>
  <c r="E49" i="3"/>
  <c r="D49" i="3"/>
  <c r="E48" i="3"/>
  <c r="D48" i="3"/>
  <c r="E46" i="3"/>
  <c r="E47" i="3"/>
  <c r="D47" i="3"/>
  <c r="D46" i="3"/>
  <c r="E45" i="3"/>
  <c r="E44" i="3"/>
  <c r="D44" i="3"/>
  <c r="E43" i="3"/>
  <c r="D43" i="3"/>
  <c r="E35" i="3"/>
  <c r="E38" i="3"/>
  <c r="E40" i="3"/>
  <c r="D40" i="3"/>
  <c r="E39" i="3"/>
  <c r="D39" i="3"/>
  <c r="D38" i="3"/>
  <c r="D36" i="3"/>
  <c r="D27" i="3"/>
  <c r="D25" i="3"/>
  <c r="I7" i="3"/>
  <c r="H7" i="3"/>
  <c r="G7" i="3"/>
  <c r="F7" i="3"/>
  <c r="E12" i="3"/>
  <c r="E13" i="3"/>
  <c r="D13" i="3"/>
  <c r="D12" i="3"/>
  <c r="E11" i="3"/>
  <c r="D11" i="3"/>
  <c r="E10" i="3"/>
  <c r="E8" i="3"/>
  <c r="E9" i="3"/>
  <c r="D9" i="3"/>
  <c r="E73" i="2"/>
  <c r="E74" i="2"/>
  <c r="I92" i="2"/>
  <c r="H92" i="2"/>
  <c r="G92" i="2"/>
  <c r="F92" i="2"/>
  <c r="E96" i="2"/>
  <c r="E95" i="2"/>
  <c r="E94" i="2"/>
  <c r="E93" i="2"/>
  <c r="D96" i="2"/>
  <c r="D95" i="2"/>
  <c r="D94" i="2"/>
  <c r="D93" i="2"/>
  <c r="I84" i="2"/>
  <c r="I114" i="2" s="1"/>
  <c r="H114" i="2"/>
  <c r="G84" i="2"/>
  <c r="G114" i="2" s="1"/>
  <c r="F84" i="2"/>
  <c r="F114" i="2" s="1"/>
  <c r="E90" i="2"/>
  <c r="E89" i="2"/>
  <c r="D89" i="2"/>
  <c r="E88" i="2"/>
  <c r="D88" i="2"/>
  <c r="E86" i="2"/>
  <c r="E87" i="2"/>
  <c r="D87" i="2"/>
  <c r="D86" i="2"/>
  <c r="E85" i="2"/>
  <c r="D85" i="2"/>
  <c r="H69" i="2"/>
  <c r="F69" i="2"/>
  <c r="E79" i="2"/>
  <c r="D79" i="2"/>
  <c r="E78" i="2"/>
  <c r="E77" i="2"/>
  <c r="E76" i="2"/>
  <c r="D76" i="2"/>
  <c r="E75" i="2"/>
  <c r="D75" i="2"/>
  <c r="E71" i="2"/>
  <c r="D73" i="2"/>
  <c r="D71" i="2"/>
  <c r="I50" i="2"/>
  <c r="H50" i="2"/>
  <c r="G50" i="2"/>
  <c r="F50" i="2"/>
  <c r="E55" i="2"/>
  <c r="E56" i="2"/>
  <c r="E57" i="2"/>
  <c r="E58" i="2"/>
  <c r="E59" i="2"/>
  <c r="D59" i="2"/>
  <c r="D57" i="2"/>
  <c r="D56" i="2"/>
  <c r="D55" i="2"/>
  <c r="E54" i="2"/>
  <c r="E53" i="2"/>
  <c r="E51" i="2"/>
  <c r="E52" i="2"/>
  <c r="D52" i="2"/>
  <c r="C114" i="2"/>
  <c r="C81" i="2"/>
  <c r="C68" i="2"/>
  <c r="D51" i="2"/>
  <c r="E47" i="2"/>
  <c r="D47" i="2"/>
  <c r="E46" i="2"/>
  <c r="E45" i="2"/>
  <c r="D45" i="2"/>
  <c r="D37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C26" i="2"/>
  <c r="I26" i="2"/>
  <c r="H26" i="2"/>
  <c r="G26" i="2"/>
  <c r="C24" i="2"/>
  <c r="E14" i="2"/>
  <c r="E12" i="2"/>
  <c r="D8" i="2"/>
  <c r="I7" i="2"/>
  <c r="H7" i="2"/>
  <c r="F24" i="2" l="1"/>
  <c r="H24" i="2"/>
  <c r="G24" i="2"/>
  <c r="I24" i="2"/>
  <c r="I81" i="2"/>
  <c r="H81" i="2"/>
  <c r="G81" i="2"/>
  <c r="F81" i="2"/>
  <c r="I68" i="2"/>
  <c r="H68" i="2"/>
  <c r="G68" i="2"/>
  <c r="F68" i="2"/>
  <c r="C95" i="1"/>
  <c r="I93" i="1"/>
  <c r="H93" i="1"/>
  <c r="G93" i="1"/>
  <c r="F93" i="1"/>
  <c r="E93" i="1"/>
  <c r="D93" i="1"/>
  <c r="E92" i="1"/>
  <c r="E76" i="1"/>
  <c r="E75" i="1"/>
  <c r="D75" i="1"/>
  <c r="E74" i="1"/>
  <c r="D74" i="1"/>
  <c r="E73" i="1"/>
  <c r="D73" i="1"/>
  <c r="I72" i="1"/>
  <c r="C71" i="1"/>
  <c r="I69" i="1"/>
  <c r="I71" i="1" s="1"/>
  <c r="H69" i="1"/>
  <c r="H71" i="1" s="1"/>
  <c r="G69" i="1"/>
  <c r="G71" i="1" s="1"/>
  <c r="F69" i="1"/>
  <c r="E69" i="1"/>
  <c r="D69" i="1"/>
  <c r="C68" i="1"/>
  <c r="I67" i="1"/>
  <c r="H67" i="1"/>
  <c r="G67" i="1"/>
  <c r="F67" i="1"/>
  <c r="E67" i="1"/>
  <c r="D67" i="1"/>
  <c r="I66" i="1"/>
  <c r="H66" i="1"/>
  <c r="G66" i="1"/>
  <c r="F66" i="1"/>
  <c r="E66" i="1"/>
  <c r="D66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E35" i="1"/>
  <c r="D35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G26" i="1"/>
  <c r="F26" i="1"/>
  <c r="I24" i="1"/>
  <c r="E24" i="1"/>
  <c r="D24" i="1"/>
  <c r="C23" i="1"/>
  <c r="E21" i="1"/>
  <c r="D21" i="1"/>
  <c r="E20" i="1"/>
  <c r="D20" i="1"/>
  <c r="E19" i="1"/>
  <c r="D19" i="1"/>
  <c r="E18" i="1"/>
  <c r="D18" i="1"/>
  <c r="D16" i="1"/>
  <c r="E8" i="1"/>
  <c r="D8" i="1"/>
  <c r="I23" i="1"/>
  <c r="F95" i="1" l="1"/>
  <c r="I68" i="1"/>
  <c r="B103" i="1" s="1"/>
  <c r="I95" i="1"/>
  <c r="F23" i="1"/>
  <c r="F68" i="1"/>
  <c r="G68" i="1"/>
  <c r="F71" i="1"/>
  <c r="G95" i="1"/>
  <c r="H23" i="1"/>
  <c r="H68" i="1"/>
  <c r="H95" i="1"/>
  <c r="I115" i="2"/>
  <c r="H115" i="2"/>
  <c r="G115" i="2"/>
  <c r="F115" i="2"/>
  <c r="G23" i="1"/>
  <c r="F99" i="6" l="1"/>
  <c r="G99" i="6"/>
  <c r="H99" i="6"/>
  <c r="I99" i="6"/>
  <c r="I100" i="10" l="1"/>
  <c r="B108" i="10" s="1"/>
  <c r="H100" i="10"/>
  <c r="G100" i="10"/>
  <c r="F100" i="10"/>
  <c r="C100" i="10"/>
  <c r="I69" i="10"/>
  <c r="B107" i="10" s="1"/>
  <c r="H69" i="10"/>
  <c r="G69" i="10"/>
  <c r="F69" i="10"/>
  <c r="C69" i="10"/>
  <c r="I65" i="10"/>
  <c r="B106" i="10" s="1"/>
  <c r="H65" i="10"/>
  <c r="G65" i="10"/>
  <c r="F65" i="10"/>
  <c r="C65" i="10"/>
  <c r="I24" i="10"/>
  <c r="B105" i="10" s="1"/>
  <c r="H24" i="10"/>
  <c r="G24" i="10"/>
  <c r="F24" i="10"/>
  <c r="I22" i="10"/>
  <c r="B104" i="10" s="1"/>
  <c r="H22" i="10"/>
  <c r="G22" i="10"/>
  <c r="F22" i="10"/>
  <c r="C22" i="10"/>
  <c r="I109" i="9"/>
  <c r="B117" i="9" s="1"/>
  <c r="H109" i="9"/>
  <c r="G109" i="9"/>
  <c r="F109" i="9"/>
  <c r="C109" i="9"/>
  <c r="I80" i="9"/>
  <c r="B116" i="9" s="1"/>
  <c r="H80" i="9"/>
  <c r="G80" i="9"/>
  <c r="F80" i="9"/>
  <c r="C80" i="9"/>
  <c r="I66" i="9"/>
  <c r="B115" i="9" s="1"/>
  <c r="H66" i="9"/>
  <c r="G66" i="9"/>
  <c r="F66" i="9"/>
  <c r="C66" i="9"/>
  <c r="I26" i="9"/>
  <c r="B114" i="9" s="1"/>
  <c r="H26" i="9"/>
  <c r="G26" i="9"/>
  <c r="F26" i="9"/>
  <c r="I24" i="9"/>
  <c r="B113" i="9" s="1"/>
  <c r="H24" i="9"/>
  <c r="G24" i="9"/>
  <c r="F24" i="9"/>
  <c r="C24" i="9"/>
  <c r="H101" i="10" l="1"/>
  <c r="F101" i="10"/>
  <c r="G101" i="10"/>
  <c r="B109" i="10"/>
  <c r="C106" i="10" s="1"/>
  <c r="I101" i="10"/>
  <c r="G110" i="9"/>
  <c r="F110" i="9"/>
  <c r="H110" i="9"/>
  <c r="B118" i="9"/>
  <c r="C115" i="9" s="1"/>
  <c r="I110" i="9"/>
  <c r="C105" i="10" l="1"/>
  <c r="C107" i="10"/>
  <c r="C104" i="10"/>
  <c r="C108" i="10"/>
  <c r="C114" i="9"/>
  <c r="C116" i="9"/>
  <c r="C113" i="9"/>
  <c r="C117" i="9"/>
  <c r="B107" i="8" l="1"/>
  <c r="C99" i="8"/>
  <c r="I74" i="8"/>
  <c r="B106" i="8" s="1"/>
  <c r="H74" i="8"/>
  <c r="G74" i="8"/>
  <c r="F74" i="8"/>
  <c r="C74" i="8"/>
  <c r="I55" i="8"/>
  <c r="B105" i="8" s="1"/>
  <c r="H55" i="8"/>
  <c r="G55" i="8"/>
  <c r="F55" i="8"/>
  <c r="C55" i="8"/>
  <c r="I21" i="8"/>
  <c r="B104" i="8" s="1"/>
  <c r="H21" i="8"/>
  <c r="G21" i="8"/>
  <c r="F21" i="8"/>
  <c r="I19" i="8"/>
  <c r="B103" i="8" s="1"/>
  <c r="H19" i="8"/>
  <c r="G19" i="8"/>
  <c r="F19" i="8"/>
  <c r="C19" i="8"/>
  <c r="I102" i="7"/>
  <c r="B110" i="7" s="1"/>
  <c r="H102" i="7"/>
  <c r="G102" i="7"/>
  <c r="F102" i="7"/>
  <c r="C102" i="7"/>
  <c r="I78" i="7"/>
  <c r="B109" i="7" s="1"/>
  <c r="H78" i="7"/>
  <c r="G78" i="7"/>
  <c r="F78" i="7"/>
  <c r="C78" i="7"/>
  <c r="I69" i="7"/>
  <c r="B108" i="7" s="1"/>
  <c r="H69" i="7"/>
  <c r="G69" i="7"/>
  <c r="F69" i="7"/>
  <c r="C69" i="7"/>
  <c r="I24" i="7"/>
  <c r="B107" i="7" s="1"/>
  <c r="H24" i="7"/>
  <c r="G24" i="7"/>
  <c r="F24" i="7"/>
  <c r="C24" i="7"/>
  <c r="I22" i="7"/>
  <c r="H22" i="7"/>
  <c r="G22" i="7"/>
  <c r="F22" i="7"/>
  <c r="C22" i="7"/>
  <c r="H103" i="7" l="1"/>
  <c r="F103" i="7"/>
  <c r="H100" i="8"/>
  <c r="G100" i="8"/>
  <c r="F100" i="8"/>
  <c r="B108" i="8"/>
  <c r="C105" i="8" s="1"/>
  <c r="I100" i="8"/>
  <c r="G103" i="7"/>
  <c r="I103" i="7"/>
  <c r="B106" i="7"/>
  <c r="B107" i="6"/>
  <c r="I78" i="6"/>
  <c r="B106" i="6" s="1"/>
  <c r="H78" i="6"/>
  <c r="G78" i="6"/>
  <c r="F78" i="6"/>
  <c r="C78" i="6"/>
  <c r="I75" i="6"/>
  <c r="B105" i="6" s="1"/>
  <c r="H75" i="6"/>
  <c r="G75" i="6"/>
  <c r="F75" i="6"/>
  <c r="C75" i="6"/>
  <c r="I25" i="6"/>
  <c r="B104" i="6" s="1"/>
  <c r="H25" i="6"/>
  <c r="G25" i="6"/>
  <c r="F25" i="6"/>
  <c r="I23" i="6"/>
  <c r="B103" i="6" s="1"/>
  <c r="H23" i="6"/>
  <c r="G23" i="6"/>
  <c r="F23" i="6"/>
  <c r="C23" i="6"/>
  <c r="C71" i="5"/>
  <c r="I98" i="5"/>
  <c r="B106" i="5" s="1"/>
  <c r="H98" i="5"/>
  <c r="G98" i="5"/>
  <c r="F98" i="5"/>
  <c r="C98" i="5"/>
  <c r="I71" i="5"/>
  <c r="B105" i="5" s="1"/>
  <c r="G71" i="5"/>
  <c r="F71" i="5"/>
  <c r="I67" i="5"/>
  <c r="B104" i="5" s="1"/>
  <c r="H67" i="5"/>
  <c r="G67" i="5"/>
  <c r="F67" i="5"/>
  <c r="C67" i="5"/>
  <c r="I26" i="5"/>
  <c r="B103" i="5" s="1"/>
  <c r="H26" i="5"/>
  <c r="G26" i="5"/>
  <c r="F26" i="5"/>
  <c r="C26" i="5"/>
  <c r="I24" i="5"/>
  <c r="B102" i="5" s="1"/>
  <c r="H24" i="5"/>
  <c r="G24" i="5"/>
  <c r="F24" i="5"/>
  <c r="C24" i="5"/>
  <c r="I116" i="4"/>
  <c r="B124" i="4" s="1"/>
  <c r="H116" i="4"/>
  <c r="G116" i="4"/>
  <c r="F116" i="4"/>
  <c r="C116" i="4"/>
  <c r="I93" i="4"/>
  <c r="B123" i="4" s="1"/>
  <c r="H93" i="4"/>
  <c r="G93" i="4"/>
  <c r="F93" i="4"/>
  <c r="C93" i="4"/>
  <c r="I72" i="4"/>
  <c r="B122" i="4" s="1"/>
  <c r="H72" i="4"/>
  <c r="G72" i="4"/>
  <c r="F72" i="4"/>
  <c r="C72" i="4"/>
  <c r="I25" i="4"/>
  <c r="B121" i="4" s="1"/>
  <c r="H25" i="4"/>
  <c r="G25" i="4"/>
  <c r="F25" i="4"/>
  <c r="I23" i="4"/>
  <c r="B120" i="4" s="1"/>
  <c r="H23" i="4"/>
  <c r="G23" i="4"/>
  <c r="F23" i="4"/>
  <c r="C23" i="4"/>
  <c r="I111" i="3"/>
  <c r="B119" i="3" s="1"/>
  <c r="H111" i="3"/>
  <c r="G111" i="3"/>
  <c r="F111" i="3"/>
  <c r="C111" i="3"/>
  <c r="I83" i="3"/>
  <c r="B118" i="3" s="1"/>
  <c r="H83" i="3"/>
  <c r="G83" i="3"/>
  <c r="F83" i="3"/>
  <c r="C83" i="3"/>
  <c r="I63" i="3"/>
  <c r="B117" i="3" s="1"/>
  <c r="H63" i="3"/>
  <c r="G63" i="3"/>
  <c r="F63" i="3"/>
  <c r="C63" i="3"/>
  <c r="I24" i="3"/>
  <c r="B116" i="3" s="1"/>
  <c r="H24" i="3"/>
  <c r="G24" i="3"/>
  <c r="F24" i="3"/>
  <c r="I22" i="3"/>
  <c r="B115" i="3" s="1"/>
  <c r="H22" i="3"/>
  <c r="G22" i="3"/>
  <c r="F22" i="3"/>
  <c r="C22" i="3"/>
  <c r="C104" i="8" l="1"/>
  <c r="C106" i="8"/>
  <c r="C103" i="8"/>
  <c r="C107" i="8"/>
  <c r="B111" i="7"/>
  <c r="C106" i="7" s="1"/>
  <c r="H100" i="6"/>
  <c r="F100" i="6"/>
  <c r="G100" i="6"/>
  <c r="B108" i="6"/>
  <c r="C105" i="6" s="1"/>
  <c r="I100" i="6"/>
  <c r="G99" i="5"/>
  <c r="F99" i="5"/>
  <c r="H99" i="5"/>
  <c r="B107" i="5"/>
  <c r="C103" i="5" s="1"/>
  <c r="I99" i="5"/>
  <c r="H117" i="4"/>
  <c r="G117" i="4"/>
  <c r="F117" i="4"/>
  <c r="B125" i="4"/>
  <c r="C122" i="4" s="1"/>
  <c r="I117" i="4"/>
  <c r="H112" i="3"/>
  <c r="F112" i="3"/>
  <c r="G112" i="3"/>
  <c r="B120" i="3"/>
  <c r="C117" i="3" s="1"/>
  <c r="I112" i="3"/>
  <c r="C108" i="7" l="1"/>
  <c r="C109" i="7"/>
  <c r="C110" i="7"/>
  <c r="C107" i="7"/>
  <c r="C104" i="6"/>
  <c r="C106" i="6"/>
  <c r="C103" i="6"/>
  <c r="C107" i="6"/>
  <c r="C106" i="5"/>
  <c r="C104" i="5"/>
  <c r="C102" i="5"/>
  <c r="C105" i="5"/>
  <c r="C121" i="4"/>
  <c r="C123" i="4"/>
  <c r="C120" i="4"/>
  <c r="C124" i="4"/>
  <c r="C118" i="3"/>
  <c r="C116" i="3"/>
  <c r="C115" i="3"/>
  <c r="C119" i="3"/>
  <c r="B122" i="2" l="1"/>
  <c r="B121" i="2"/>
  <c r="B120" i="2"/>
  <c r="B119" i="2"/>
  <c r="B118" i="2"/>
  <c r="B123" i="2" l="1"/>
  <c r="C120" i="2" s="1"/>
  <c r="C121" i="2" l="1"/>
  <c r="C119" i="2"/>
  <c r="C118" i="2"/>
  <c r="C122" i="2"/>
  <c r="B105" i="1" l="1"/>
  <c r="B104" i="1"/>
  <c r="F25" i="1" l="1"/>
  <c r="F96" i="1" s="1"/>
  <c r="G25" i="1"/>
  <c r="H96" i="1"/>
  <c r="I25" i="1"/>
  <c r="B102" i="1" l="1"/>
  <c r="I96" i="1"/>
  <c r="G96" i="1"/>
  <c r="B101" i="1"/>
  <c r="B106" i="1" l="1"/>
  <c r="C101" i="1" s="1"/>
  <c r="C104" i="1" l="1"/>
  <c r="C105" i="1"/>
  <c r="C103" i="1"/>
  <c r="C102" i="1"/>
</calcChain>
</file>

<file path=xl/sharedStrings.xml><?xml version="1.0" encoding="utf-8"?>
<sst xmlns="http://schemas.openxmlformats.org/spreadsheetml/2006/main" count="1633" uniqueCount="466">
  <si>
    <t>Меню приготавливаемых блюд</t>
  </si>
  <si>
    <t>Прием пищи</t>
  </si>
  <si>
    <t>Наименование блюда</t>
  </si>
  <si>
    <t>Вес блюда</t>
  </si>
  <si>
    <t>белки</t>
  </si>
  <si>
    <t>жиры</t>
  </si>
  <si>
    <t>углеводы</t>
  </si>
  <si>
    <t>Пищевые вещества</t>
  </si>
  <si>
    <t>Энергетическая ценность</t>
  </si>
  <si>
    <t>№ рецептуры</t>
  </si>
  <si>
    <t>брутто</t>
  </si>
  <si>
    <t>нетто</t>
  </si>
  <si>
    <t xml:space="preserve">Закладка </t>
  </si>
  <si>
    <t>Неделя 1  День 1</t>
  </si>
  <si>
    <t>Завтрак</t>
  </si>
  <si>
    <t>Каша манная молочная жидкая</t>
  </si>
  <si>
    <t>Пермь</t>
  </si>
  <si>
    <t>крупа манная</t>
  </si>
  <si>
    <t xml:space="preserve">молоко </t>
  </si>
  <si>
    <t>сахар</t>
  </si>
  <si>
    <t>соль</t>
  </si>
  <si>
    <t>Масса каши</t>
  </si>
  <si>
    <t>масло сливочное</t>
  </si>
  <si>
    <t>Сыр твердый</t>
  </si>
  <si>
    <t>Кофейный напиток  с молоком</t>
  </si>
  <si>
    <t>кофейный напиток</t>
  </si>
  <si>
    <t>молоко</t>
  </si>
  <si>
    <t>вода</t>
  </si>
  <si>
    <t>Хлеб пшеничный</t>
  </si>
  <si>
    <t>Хлеб ржано-пшеничный</t>
  </si>
  <si>
    <t>Итого завтрак</t>
  </si>
  <si>
    <t>Второй завтрак</t>
  </si>
  <si>
    <t>Итого за второй завтрак</t>
  </si>
  <si>
    <t>Обед</t>
  </si>
  <si>
    <t>Свекла</t>
  </si>
  <si>
    <t xml:space="preserve">Лук  репчатый </t>
  </si>
  <si>
    <t>Томатная паста 25% сухих в-в</t>
  </si>
  <si>
    <t>Масло растительное</t>
  </si>
  <si>
    <t>Лимонная кислота</t>
  </si>
  <si>
    <t>Сахар</t>
  </si>
  <si>
    <t>Икра свекольная</t>
  </si>
  <si>
    <t>№110</t>
  </si>
  <si>
    <t>С-П</t>
  </si>
  <si>
    <t xml:space="preserve">говядина бескостная </t>
  </si>
  <si>
    <t>масса отварного мяса</t>
  </si>
  <si>
    <t>масса готового мясного бульона</t>
  </si>
  <si>
    <t>горох лущеный</t>
  </si>
  <si>
    <t>картофель</t>
  </si>
  <si>
    <t>морковь</t>
  </si>
  <si>
    <t>лук репчатый</t>
  </si>
  <si>
    <t>масло растительное</t>
  </si>
  <si>
    <t>зелень</t>
  </si>
  <si>
    <t xml:space="preserve">Суп картофельный с бобовыми </t>
  </si>
  <si>
    <t>№36</t>
  </si>
  <si>
    <t xml:space="preserve">лавровый лист </t>
  </si>
  <si>
    <t>томатная паста</t>
  </si>
  <si>
    <t>мука пшеничная</t>
  </si>
  <si>
    <t>масса тушеного мяса</t>
  </si>
  <si>
    <t>масса соуса</t>
  </si>
  <si>
    <t>Капуста белокочанная</t>
  </si>
  <si>
    <t>Масло сливочное 72,5% жирности</t>
  </si>
  <si>
    <t xml:space="preserve">Морковь </t>
  </si>
  <si>
    <t>Лук  репчатый</t>
  </si>
  <si>
    <t>Мука пшеничная в/с</t>
  </si>
  <si>
    <t>Петрушка (зелень)</t>
  </si>
  <si>
    <t>Капуста тушеная</t>
  </si>
  <si>
    <t>№200</t>
  </si>
  <si>
    <t>Компот из смеси сухофруктов</t>
  </si>
  <si>
    <t>смесь сухофруктов</t>
  </si>
  <si>
    <t>Итого за обед</t>
  </si>
  <si>
    <t>Полдник</t>
  </si>
  <si>
    <t>№728 С-П</t>
  </si>
  <si>
    <t>Итого за полдник</t>
  </si>
  <si>
    <t>Ужин</t>
  </si>
  <si>
    <t>Фрикадельки рыбные</t>
  </si>
  <si>
    <t>№147</t>
  </si>
  <si>
    <t>минтай потр. обезгл.</t>
  </si>
  <si>
    <t>молоко или вода</t>
  </si>
  <si>
    <t>яйца</t>
  </si>
  <si>
    <t>1/5шт</t>
  </si>
  <si>
    <t xml:space="preserve">чай </t>
  </si>
  <si>
    <t>Итого за ужин</t>
  </si>
  <si>
    <t>Итого за день</t>
  </si>
  <si>
    <t>№90</t>
  </si>
  <si>
    <t>Хлеб ржаной</t>
  </si>
  <si>
    <t>Мука пшеничная</t>
  </si>
  <si>
    <t>Картофель</t>
  </si>
  <si>
    <t>Кондитерские изд</t>
  </si>
  <si>
    <t>Чай</t>
  </si>
  <si>
    <t>Птица</t>
  </si>
  <si>
    <t xml:space="preserve">Творог </t>
  </si>
  <si>
    <t>Сметана</t>
  </si>
  <si>
    <t>Сыр</t>
  </si>
  <si>
    <t>Крупы,бобовые</t>
  </si>
  <si>
    <t>Крахмал</t>
  </si>
  <si>
    <t>Овощи св.,в т.ч. томат-пюре, зелень</t>
  </si>
  <si>
    <t>Фрукты свежие</t>
  </si>
  <si>
    <t>Соки фруктовые и овощные</t>
  </si>
  <si>
    <t>Сухофрукты</t>
  </si>
  <si>
    <t>Коф.напиток</t>
  </si>
  <si>
    <t>Какао-порошок</t>
  </si>
  <si>
    <t>Мясо 1-й категории</t>
  </si>
  <si>
    <t>Субпродукты</t>
  </si>
  <si>
    <t>Рыба(филе), в т.ч. слабо или малосоленое</t>
  </si>
  <si>
    <t>Молоко, молочная и кисломолочная продукция</t>
  </si>
  <si>
    <t>Масло сливочное</t>
  </si>
  <si>
    <t xml:space="preserve">Яйцо </t>
  </si>
  <si>
    <t>Дрожжи хлебопекарные</t>
  </si>
  <si>
    <t>Соль пищевая поваренная йодированная</t>
  </si>
  <si>
    <t>Наименование пищевой продукции или группы пищевой продукции</t>
  </si>
  <si>
    <t>Дни недели</t>
  </si>
  <si>
    <t>Удельный вес выполнения норм (%)</t>
  </si>
  <si>
    <t>Норма в день на 1 человека (граммов, нетто)</t>
  </si>
  <si>
    <t>Среднее за сутки</t>
  </si>
  <si>
    <t>Макаронные изделия</t>
  </si>
  <si>
    <t>Норматив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</si>
  <si>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</si>
  <si>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</si>
  <si>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</si>
  <si>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</si>
  <si>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</si>
  <si>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</si>
  <si>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</si>
  <si>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</si>
  <si>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</si>
  <si>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</si>
  <si>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Белки,г</t>
  </si>
  <si>
    <t>Жиры,г</t>
  </si>
  <si>
    <t>Углеводы,г</t>
  </si>
  <si>
    <t>Энергетическая ценность,ккал</t>
  </si>
  <si>
    <t>Среднее за 10 дней</t>
  </si>
  <si>
    <t>ОБЬЕМ</t>
  </si>
  <si>
    <t>Ккал</t>
  </si>
  <si>
    <t>%</t>
  </si>
  <si>
    <t>Норма</t>
  </si>
  <si>
    <t>ЗАВТРАК</t>
  </si>
  <si>
    <t>ЗАВТРАК второй</t>
  </si>
  <si>
    <t>ОБЕД</t>
  </si>
  <si>
    <t>ПОЛДНИК</t>
  </si>
  <si>
    <t>УЖИН</t>
  </si>
  <si>
    <t>ИТОГО</t>
  </si>
  <si>
    <t>Неделя 1  День 2</t>
  </si>
  <si>
    <t>Запеканка из творога</t>
  </si>
  <si>
    <t>Творог</t>
  </si>
  <si>
    <t>Молоко</t>
  </si>
  <si>
    <t>Яйцо</t>
  </si>
  <si>
    <t>Ванилин</t>
  </si>
  <si>
    <t>Сухари</t>
  </si>
  <si>
    <t>Молоко цельное сгущенное с сахаром</t>
  </si>
  <si>
    <t>№117</t>
  </si>
  <si>
    <t>1/10шт</t>
  </si>
  <si>
    <t>Молоко кипяченое</t>
  </si>
  <si>
    <t>Лимонная  кислота</t>
  </si>
  <si>
    <t xml:space="preserve">Вода </t>
  </si>
  <si>
    <t>Маринад овощной с томатом</t>
  </si>
  <si>
    <t>№601</t>
  </si>
  <si>
    <t>говядина бескостная</t>
  </si>
  <si>
    <t>капуста свежая</t>
  </si>
  <si>
    <t>горошек зеленый консер.</t>
  </si>
  <si>
    <t>петрушка(зелень)</t>
  </si>
  <si>
    <t>сметана</t>
  </si>
  <si>
    <t>№35</t>
  </si>
  <si>
    <t xml:space="preserve">Суп из овощей </t>
  </si>
  <si>
    <t>масса пассерованного лука</t>
  </si>
  <si>
    <t>Соус томатный</t>
  </si>
  <si>
    <t>печень говяжья</t>
  </si>
  <si>
    <t>масса готовой печени</t>
  </si>
  <si>
    <t>соус сметанный</t>
  </si>
  <si>
    <t>№162</t>
  </si>
  <si>
    <t>крупа рисовая</t>
  </si>
  <si>
    <t>1/20 шт.</t>
  </si>
  <si>
    <t>дрожжи прессованные</t>
  </si>
  <si>
    <t>Масса теста</t>
  </si>
  <si>
    <t>-</t>
  </si>
  <si>
    <t xml:space="preserve">яйцо для смазки </t>
  </si>
  <si>
    <t>масло растительное для смазки листов</t>
  </si>
  <si>
    <t>№307</t>
  </si>
  <si>
    <t>Тефтели из говядины паровые</t>
  </si>
  <si>
    <t>Хлеб пш.</t>
  </si>
  <si>
    <t>Лук репч</t>
  </si>
  <si>
    <t>Масло слив.</t>
  </si>
  <si>
    <t>масса пассер.лука</t>
  </si>
  <si>
    <t>№173</t>
  </si>
  <si>
    <t>№228</t>
  </si>
  <si>
    <t>макаронные изделия</t>
  </si>
  <si>
    <t>Масло слив</t>
  </si>
  <si>
    <t>Соль</t>
  </si>
  <si>
    <t>чай</t>
  </si>
  <si>
    <t>вода или молоко</t>
  </si>
  <si>
    <t>Неделя 1  День 3</t>
  </si>
  <si>
    <t>Омлет с зеленым горошком</t>
  </si>
  <si>
    <t>яйцо</t>
  </si>
  <si>
    <t>Масса  омлетной  смеси</t>
  </si>
  <si>
    <t>Горошек зеленый консервированный</t>
  </si>
  <si>
    <t>Масло  сливочное</t>
  </si>
  <si>
    <t>№111</t>
  </si>
  <si>
    <t>Чай с молоком</t>
  </si>
  <si>
    <t>Вода</t>
  </si>
  <si>
    <t>Икра морковная</t>
  </si>
  <si>
    <t>свекла</t>
  </si>
  <si>
    <t>лимонная кислота</t>
  </si>
  <si>
    <t>Борщ с капустой и картофелем</t>
  </si>
  <si>
    <t>№27</t>
  </si>
  <si>
    <t>Курица в соусе с томатом</t>
  </si>
  <si>
    <t>курица</t>
  </si>
  <si>
    <t>Лук репчатый</t>
  </si>
  <si>
    <t>чеснок</t>
  </si>
  <si>
    <t xml:space="preserve">Каша пшенная рассыпчатая </t>
  </si>
  <si>
    <t>крупа пшено</t>
  </si>
  <si>
    <t>№179</t>
  </si>
  <si>
    <t>№189</t>
  </si>
  <si>
    <t>Пирожок печеный с капустой</t>
  </si>
  <si>
    <t>тесто дрожжевое</t>
  </si>
  <si>
    <t>мука на подпыл</t>
  </si>
  <si>
    <t>фарш из свежей капусты</t>
  </si>
  <si>
    <t>масса готовой капусты</t>
  </si>
  <si>
    <t>яйцо для смазки пирожков</t>
  </si>
  <si>
    <t>С-Петербург</t>
  </si>
  <si>
    <t>Рыбные хлебцы(паровые)</t>
  </si>
  <si>
    <t>Минтай потрошенный обезглавленный</t>
  </si>
  <si>
    <t xml:space="preserve">Хлеб пшеничный </t>
  </si>
  <si>
    <t>№145</t>
  </si>
  <si>
    <t xml:space="preserve">Картофель отварной </t>
  </si>
  <si>
    <t>№204</t>
  </si>
  <si>
    <t>Кисель плодово-ягодный</t>
  </si>
  <si>
    <t>Концентрат киселя</t>
  </si>
  <si>
    <t>2шт</t>
  </si>
  <si>
    <t>Неделя 1  День 4</t>
  </si>
  <si>
    <t>Суп молочный с макаронными изделиями</t>
  </si>
  <si>
    <t>№44</t>
  </si>
  <si>
    <t>Какао с молоком</t>
  </si>
  <si>
    <t>какао-порошок</t>
  </si>
  <si>
    <t>№248</t>
  </si>
  <si>
    <t>Маринад овощной со свеклой</t>
  </si>
  <si>
    <t xml:space="preserve">Свекла </t>
  </si>
  <si>
    <t>№894</t>
  </si>
  <si>
    <t>Москва</t>
  </si>
  <si>
    <t xml:space="preserve">Крупа рисовая </t>
  </si>
  <si>
    <t>Морковь</t>
  </si>
  <si>
    <t>Огурцы соленые</t>
  </si>
  <si>
    <t>Зелень</t>
  </si>
  <si>
    <t xml:space="preserve">Сметана </t>
  </si>
  <si>
    <t>Рассольник домашний</t>
  </si>
  <si>
    <t>№32</t>
  </si>
  <si>
    <t xml:space="preserve">капуста </t>
  </si>
  <si>
    <t>Рыба, тушенная в томате с овощами</t>
  </si>
  <si>
    <t>Минтай потрошеный обезглавленный</t>
  </si>
  <si>
    <t>Вода  или  бульон</t>
  </si>
  <si>
    <t>Томат-паста</t>
  </si>
  <si>
    <t>Масло  растительное</t>
  </si>
  <si>
    <t xml:space="preserve">Сахар </t>
  </si>
  <si>
    <t>Лавровый лист</t>
  </si>
  <si>
    <t>Масса  тушеной рыбы</t>
  </si>
  <si>
    <t>Масса  готовой  рыбы с тушеными овощами и соусом</t>
  </si>
  <si>
    <t>№144</t>
  </si>
  <si>
    <t>№206</t>
  </si>
  <si>
    <t>Кнели из говядины</t>
  </si>
  <si>
    <t>Говядина бескостная</t>
  </si>
  <si>
    <t xml:space="preserve">Молоко </t>
  </si>
  <si>
    <t>Яйцо ( белки)</t>
  </si>
  <si>
    <t>Масло сливочное на смазывание формы</t>
  </si>
  <si>
    <t>Неделя 1  День 5</t>
  </si>
  <si>
    <t>творог</t>
  </si>
  <si>
    <t>мука пшен</t>
  </si>
  <si>
    <t>Горошек зеленый консервированный отварной</t>
  </si>
  <si>
    <t>Горошек зеленый консер</t>
  </si>
  <si>
    <t xml:space="preserve">Свекольник </t>
  </si>
  <si>
    <t>№34</t>
  </si>
  <si>
    <t>Голубцы ленивые</t>
  </si>
  <si>
    <t>Говядина бескостная замороженная</t>
  </si>
  <si>
    <t>Крупа рисовая</t>
  </si>
  <si>
    <t>№150</t>
  </si>
  <si>
    <t>Каша гречневая рассыпчатая</t>
  </si>
  <si>
    <t>крупа гречневая</t>
  </si>
  <si>
    <t>масса каши</t>
  </si>
  <si>
    <t>№186</t>
  </si>
  <si>
    <t>№255</t>
  </si>
  <si>
    <t>Тесто дрожжевое:</t>
  </si>
  <si>
    <t>Яйца</t>
  </si>
  <si>
    <t>Дрожжи прессованные</t>
  </si>
  <si>
    <t>Мука на подпыл</t>
  </si>
  <si>
    <t>яйцо для смазки ватрушек</t>
  </si>
  <si>
    <t>Масло раст для смазки листов</t>
  </si>
  <si>
    <t>№289</t>
  </si>
  <si>
    <t>Тефтели рыбные</t>
  </si>
  <si>
    <t>№146</t>
  </si>
  <si>
    <t>минтай потр обезгл</t>
  </si>
  <si>
    <t>мало растит</t>
  </si>
  <si>
    <t>Картофель, тушеный с луком</t>
  </si>
  <si>
    <t>Соус томатный № 228</t>
  </si>
  <si>
    <t>№234</t>
  </si>
  <si>
    <t>Соус молочный</t>
  </si>
  <si>
    <t>№219</t>
  </si>
  <si>
    <t>Неделя 2  День 1</t>
  </si>
  <si>
    <t>Каша овсяная из "Геркулеса" жидкая</t>
  </si>
  <si>
    <t>крупа "Геркулес"</t>
  </si>
  <si>
    <t>№93</t>
  </si>
  <si>
    <t>Фрукт (яблоко)</t>
  </si>
  <si>
    <t>капуста</t>
  </si>
  <si>
    <t>Щи из свежей капусты с картофелем</t>
  </si>
  <si>
    <t xml:space="preserve">Котлеты, биточки, шницели </t>
  </si>
  <si>
    <t>Говядина  бескостная</t>
  </si>
  <si>
    <t>Молоко или  вода</t>
  </si>
  <si>
    <t xml:space="preserve">Сухари                 </t>
  </si>
  <si>
    <t>№161</t>
  </si>
  <si>
    <t>Печень говяжья  замороженная</t>
  </si>
  <si>
    <t xml:space="preserve">Масса готовой печени </t>
  </si>
  <si>
    <t>Масса макарон отварных</t>
  </si>
  <si>
    <t xml:space="preserve">Лук репчатый </t>
  </si>
  <si>
    <t>Масса припущенного лука</t>
  </si>
  <si>
    <t>Сухари панировочные</t>
  </si>
  <si>
    <t>Масса полуфабриката</t>
  </si>
  <si>
    <t>Макаронник с субпродуктами</t>
  </si>
  <si>
    <t>Неделя 2  День 2</t>
  </si>
  <si>
    <t>Молоко цельное 2,5% жирности</t>
  </si>
  <si>
    <t>Огурцы свежие</t>
  </si>
  <si>
    <t>Фрикадельки из говядины паровые</t>
  </si>
  <si>
    <t>№175</t>
  </si>
  <si>
    <t>Неделя 2  День 3</t>
  </si>
  <si>
    <t>№253</t>
  </si>
  <si>
    <t xml:space="preserve">Омлет натуральный </t>
  </si>
  <si>
    <t>Сельдь с луком</t>
  </si>
  <si>
    <t xml:space="preserve"> филе сельди слабосоленое</t>
  </si>
  <si>
    <t>масса отварной мякоти птицы</t>
  </si>
  <si>
    <t>масса готового  бульона</t>
  </si>
  <si>
    <t>Рис, припущенный с томатом</t>
  </si>
  <si>
    <t>№193</t>
  </si>
  <si>
    <t xml:space="preserve">Пирожок печеный с морковью </t>
  </si>
  <si>
    <t>фарш морковный</t>
  </si>
  <si>
    <t>масса готовой моркови</t>
  </si>
  <si>
    <t>Суфле  из картофеля</t>
  </si>
  <si>
    <t xml:space="preserve">Молоко цельное 2,5% жирности </t>
  </si>
  <si>
    <t>Соус молочный для запекания</t>
  </si>
  <si>
    <t>Рассольник ленинградский</t>
  </si>
  <si>
    <t>№33</t>
  </si>
  <si>
    <t>№82</t>
  </si>
  <si>
    <t>Неделя 2  День 4</t>
  </si>
  <si>
    <t>Каша "Дружба"</t>
  </si>
  <si>
    <t>№84</t>
  </si>
  <si>
    <t>крупа пшенная</t>
  </si>
  <si>
    <t>Неделя 2  День 5</t>
  </si>
  <si>
    <t>крупа перловая</t>
  </si>
  <si>
    <t>Суп крестьянский с крупой</t>
  </si>
  <si>
    <t>№42</t>
  </si>
  <si>
    <t>Котлеты или биточки рыбные</t>
  </si>
  <si>
    <t>№134</t>
  </si>
  <si>
    <t>минтай потр. обезгл</t>
  </si>
  <si>
    <t>Мука пшеничная(на подпыл)</t>
  </si>
  <si>
    <t>Сахар-песок</t>
  </si>
  <si>
    <t xml:space="preserve">Масло сливочное 72,5% жирности </t>
  </si>
  <si>
    <t>Соль поваренная йодированная</t>
  </si>
  <si>
    <t>Масса  теста</t>
  </si>
  <si>
    <t>Запеканка капустная</t>
  </si>
  <si>
    <t>№61</t>
  </si>
  <si>
    <t>Масса припущенной капусты</t>
  </si>
  <si>
    <t>сухари</t>
  </si>
  <si>
    <t>ванилин</t>
  </si>
  <si>
    <t>№294</t>
  </si>
  <si>
    <t>1/13шт</t>
  </si>
  <si>
    <t>№299</t>
  </si>
  <si>
    <t>№303</t>
  </si>
  <si>
    <t>Булочка  ванильная</t>
  </si>
  <si>
    <t xml:space="preserve">яйца </t>
  </si>
  <si>
    <t>яйца для смазки</t>
  </si>
  <si>
    <t>Сдоба обыкновенная</t>
  </si>
  <si>
    <t>масло растительное для разделки</t>
  </si>
  <si>
    <t>Кукуруза отварная</t>
  </si>
  <si>
    <t>кукуруза консерв</t>
  </si>
  <si>
    <t>№331</t>
  </si>
  <si>
    <t>Помидоры свежие</t>
  </si>
  <si>
    <t xml:space="preserve">масло растительное </t>
  </si>
  <si>
    <t>Булочка молочная</t>
  </si>
  <si>
    <t>№123</t>
  </si>
  <si>
    <t>Кондитерское изделие(печенье)</t>
  </si>
  <si>
    <t>1/8шт</t>
  </si>
  <si>
    <t>1/40шт</t>
  </si>
  <si>
    <t>вуц</t>
  </si>
  <si>
    <t>1/20шт.</t>
  </si>
  <si>
    <t>1/20шт</t>
  </si>
  <si>
    <t>0,06шт</t>
  </si>
  <si>
    <t>1/4шт</t>
  </si>
  <si>
    <t>0,075шт</t>
  </si>
  <si>
    <t>,</t>
  </si>
  <si>
    <r>
      <rPr>
        <b/>
        <sz val="12"/>
        <color theme="1"/>
        <rFont val="Times New Roman"/>
        <family val="1"/>
        <charset val="204"/>
      </rPr>
      <t>Возрастная категория:</t>
    </r>
    <r>
      <rPr>
        <sz val="12"/>
        <color theme="1"/>
        <rFont val="Times New Roman"/>
        <family val="1"/>
        <charset val="204"/>
      </rPr>
      <t xml:space="preserve"> от 1 года до 3 лет</t>
    </r>
  </si>
  <si>
    <t>Печень  говяжья по-строгановски</t>
  </si>
  <si>
    <t>Гуляш</t>
  </si>
  <si>
    <t>№443</t>
  </si>
  <si>
    <t>Макаронные изделия отварные с овощами</t>
  </si>
  <si>
    <t>масса отварных макарон</t>
  </si>
  <si>
    <t>№195</t>
  </si>
  <si>
    <t>масло слив для пассер.овощей</t>
  </si>
  <si>
    <t>Яйца вареные</t>
  </si>
  <si>
    <t>№306 С-П</t>
  </si>
  <si>
    <t>2,85шт</t>
  </si>
  <si>
    <t>Картофельное пюре</t>
  </si>
  <si>
    <t>Печень говяжья  по-строгановски</t>
  </si>
  <si>
    <t>№280</t>
  </si>
  <si>
    <t>№159</t>
  </si>
  <si>
    <t>№487</t>
  </si>
  <si>
    <t>№273</t>
  </si>
  <si>
    <t>Молоко или вода</t>
  </si>
  <si>
    <t xml:space="preserve">                                                        Распределение потребности в пищевых веществах,энергии суточного рациона питания детей от 1 до 3 лет</t>
  </si>
  <si>
    <t xml:space="preserve">                                                        Распределение в процентном отношении потребления пищевых веществ и энергии  по приемам пищи для  детей от 1 до 3 лет </t>
  </si>
  <si>
    <t>№56</t>
  </si>
  <si>
    <t xml:space="preserve">молоко или вода </t>
  </si>
  <si>
    <t>Чай черный байховый (без сахара)</t>
  </si>
  <si>
    <t>Выполнение среднесуточных наборов пищевой продукции (минимальных) для детей с 1 до 3 лет (в нетто г,мл на 1 ребенка в сутки)</t>
  </si>
  <si>
    <t>Сок яблочный осветленный</t>
  </si>
  <si>
    <t>Суфле из кур</t>
  </si>
  <si>
    <t>№183</t>
  </si>
  <si>
    <t>вода или бульон</t>
  </si>
  <si>
    <t>масло сливочное на смазку</t>
  </si>
  <si>
    <t>Чай черный байховый с сахаром</t>
  </si>
  <si>
    <t>№91</t>
  </si>
  <si>
    <t>Ватрушка с творогом</t>
  </si>
  <si>
    <t>0,03шт</t>
  </si>
  <si>
    <t>Повидло яблочное</t>
  </si>
  <si>
    <t>Фарш  творожный №315:</t>
  </si>
  <si>
    <t xml:space="preserve">Рагу из овощей </t>
  </si>
  <si>
    <t>№77</t>
  </si>
  <si>
    <t>№196</t>
  </si>
  <si>
    <t>Суп картофельный с макаронными изделиями</t>
  </si>
  <si>
    <t>№38</t>
  </si>
  <si>
    <t>соус сметанный №585 С-П</t>
  </si>
  <si>
    <t>масса пассер. овощей</t>
  </si>
  <si>
    <t>54-9гн-2020</t>
  </si>
  <si>
    <t>54-2гн-2020</t>
  </si>
  <si>
    <t>54-1гн-2020</t>
  </si>
  <si>
    <t>1 неделя</t>
  </si>
  <si>
    <t>2 неделя</t>
  </si>
  <si>
    <t>Сок яблоко</t>
  </si>
  <si>
    <t>Кондитерское изделие(вафля)</t>
  </si>
  <si>
    <t>Фрукт (банан)</t>
  </si>
  <si>
    <t>тк №240 -н2010</t>
  </si>
  <si>
    <t>тк №241 н-2010</t>
  </si>
  <si>
    <t>Крупа манная</t>
  </si>
  <si>
    <t>Вода или молоко цельное 2,5% жирности для каши</t>
  </si>
  <si>
    <t>1/10 шт</t>
  </si>
  <si>
    <t xml:space="preserve">№255 </t>
  </si>
  <si>
    <t>Чай с лимоном</t>
  </si>
  <si>
    <t>№260</t>
  </si>
  <si>
    <t>№255 Пермь</t>
  </si>
  <si>
    <t>3,!0</t>
  </si>
  <si>
    <t>крупа пшеничная</t>
  </si>
  <si>
    <t>лимон</t>
  </si>
  <si>
    <t>№260 Пермь</t>
  </si>
  <si>
    <t>Кислота лимонная</t>
  </si>
  <si>
    <t>Хлеб ржано</t>
  </si>
  <si>
    <t>тк №644 С.П.</t>
  </si>
  <si>
    <t>50,?5</t>
  </si>
  <si>
    <t>№644 С.П.</t>
  </si>
  <si>
    <t>Курица   потрошенная</t>
  </si>
  <si>
    <t>Компот из сухофруктов</t>
  </si>
  <si>
    <t>сухофрукты</t>
  </si>
  <si>
    <t>Чай черный с сахаром</t>
  </si>
  <si>
    <t>54-2ГН Новосибирск</t>
  </si>
  <si>
    <t xml:space="preserve">№215 </t>
  </si>
  <si>
    <t xml:space="preserve">Здобнов </t>
  </si>
  <si>
    <t>№215 Здобнов</t>
  </si>
  <si>
    <t>№215</t>
  </si>
  <si>
    <t>Здобнов</t>
  </si>
  <si>
    <t xml:space="preserve">№ 215 </t>
  </si>
  <si>
    <t>Возрастная категория: от 1 года до 3 лет</t>
  </si>
  <si>
    <t xml:space="preserve">Томатная паста </t>
  </si>
  <si>
    <t>Каша  молочная пшеничная жидкая</t>
  </si>
  <si>
    <t xml:space="preserve">Говядина бескостная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</si>
</sst>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"/>
      <family val="1"/>
    </font>
    <font>
      <b/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0" borderId="11" xfId="0" applyFont="1" applyBorder="1"/>
    <xf numFmtId="0" fontId="3" fillId="0" borderId="11" xfId="0" applyFont="1" applyBorder="1"/>
    <xf numFmtId="0" fontId="3" fillId="0" borderId="3" xfId="0" applyFont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0" fontId="8" fillId="0" borderId="1" xfId="0" applyFont="1" applyBorder="1" applyAlignment="1">
      <alignment wrapText="1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6" xfId="0" applyFont="1" applyBorder="1"/>
    <xf numFmtId="0" fontId="5" fillId="0" borderId="2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7" borderId="28" xfId="0" applyFont="1" applyFill="1" applyBorder="1" applyAlignment="1">
      <alignment vertical="center" wrapText="1"/>
    </xf>
    <xf numFmtId="164" fontId="5" fillId="7" borderId="29" xfId="0" applyNumberFormat="1" applyFont="1" applyFill="1" applyBorder="1" applyAlignment="1">
      <alignment horizontal="center" vertical="center" wrapText="1"/>
    </xf>
    <xf numFmtId="164" fontId="5" fillId="7" borderId="28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9" fontId="2" fillId="5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7" borderId="8" xfId="0" applyFont="1" applyFill="1" applyBorder="1" applyAlignment="1">
      <alignment vertical="center" wrapText="1"/>
    </xf>
    <xf numFmtId="164" fontId="4" fillId="0" borderId="1" xfId="0" applyNumberFormat="1" applyFont="1" applyBorder="1"/>
    <xf numFmtId="0" fontId="13" fillId="0" borderId="1" xfId="1" applyNumberFormat="1" applyFont="1" applyFill="1" applyBorder="1" applyAlignment="1">
      <alignment horizontal="left" wrapText="1"/>
    </xf>
    <xf numFmtId="0" fontId="2" fillId="0" borderId="1" xfId="0" applyFont="1" applyFill="1" applyBorder="1"/>
    <xf numFmtId="0" fontId="14" fillId="0" borderId="1" xfId="1" applyNumberFormat="1" applyFont="1" applyFill="1" applyBorder="1" applyAlignment="1">
      <alignment horizontal="center"/>
    </xf>
    <xf numFmtId="0" fontId="3" fillId="0" borderId="14" xfId="0" applyFont="1" applyBorder="1"/>
    <xf numFmtId="0" fontId="4" fillId="0" borderId="31" xfId="0" applyFont="1" applyBorder="1"/>
    <xf numFmtId="0" fontId="4" fillId="0" borderId="2" xfId="0" applyFont="1" applyBorder="1"/>
    <xf numFmtId="0" fontId="4" fillId="0" borderId="28" xfId="0" applyFont="1" applyBorder="1"/>
    <xf numFmtId="0" fontId="4" fillId="0" borderId="5" xfId="0" applyFont="1" applyBorder="1"/>
    <xf numFmtId="0" fontId="4" fillId="0" borderId="30" xfId="0" applyFont="1" applyBorder="1"/>
    <xf numFmtId="0" fontId="5" fillId="0" borderId="29" xfId="0" applyFont="1" applyBorder="1"/>
    <xf numFmtId="0" fontId="5" fillId="0" borderId="6" xfId="0" applyFont="1" applyBorder="1"/>
    <xf numFmtId="0" fontId="5" fillId="0" borderId="19" xfId="0" applyFont="1" applyBorder="1"/>
    <xf numFmtId="0" fontId="4" fillId="0" borderId="32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4" fillId="0" borderId="2" xfId="0" applyNumberFormat="1" applyFont="1" applyBorder="1"/>
    <xf numFmtId="164" fontId="4" fillId="0" borderId="5" xfId="0" applyNumberFormat="1" applyFont="1" applyBorder="1"/>
    <xf numFmtId="0" fontId="8" fillId="0" borderId="0" xfId="0" applyFont="1" applyAlignment="1">
      <alignment wrapText="1"/>
    </xf>
    <xf numFmtId="0" fontId="3" fillId="0" borderId="2" xfId="0" applyFont="1" applyBorder="1"/>
    <xf numFmtId="0" fontId="2" fillId="0" borderId="1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2" fontId="2" fillId="6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5" fillId="0" borderId="6" xfId="0" applyFont="1" applyFill="1" applyBorder="1"/>
    <xf numFmtId="0" fontId="15" fillId="0" borderId="0" xfId="0" applyFont="1"/>
    <xf numFmtId="2" fontId="4" fillId="0" borderId="1" xfId="0" applyNumberFormat="1" applyFont="1" applyBorder="1"/>
    <xf numFmtId="2" fontId="3" fillId="0" borderId="0" xfId="0" applyNumberFormat="1" applyFont="1"/>
    <xf numFmtId="2" fontId="2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2" fontId="3" fillId="3" borderId="1" xfId="0" applyNumberFormat="1" applyFont="1" applyFill="1" applyBorder="1"/>
    <xf numFmtId="2" fontId="3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0" borderId="11" xfId="0" applyNumberFormat="1" applyFont="1" applyFill="1" applyBorder="1"/>
    <xf numFmtId="2" fontId="3" fillId="0" borderId="1" xfId="0" applyNumberFormat="1" applyFont="1" applyFill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0" borderId="18" xfId="0" applyNumberFormat="1" applyFont="1" applyBorder="1"/>
    <xf numFmtId="2" fontId="4" fillId="0" borderId="3" xfId="0" applyNumberFormat="1" applyFont="1" applyBorder="1"/>
    <xf numFmtId="2" fontId="4" fillId="0" borderId="1" xfId="0" applyNumberFormat="1" applyFont="1" applyFill="1" applyBorder="1"/>
    <xf numFmtId="2" fontId="4" fillId="0" borderId="2" xfId="0" applyNumberFormat="1" applyFont="1" applyFill="1" applyBorder="1"/>
    <xf numFmtId="2" fontId="4" fillId="0" borderId="5" xfId="0" applyNumberFormat="1" applyFont="1" applyFill="1" applyBorder="1"/>
    <xf numFmtId="2" fontId="4" fillId="0" borderId="2" xfId="0" applyNumberFormat="1" applyFont="1" applyBorder="1"/>
    <xf numFmtId="2" fontId="4" fillId="0" borderId="5" xfId="0" applyNumberFormat="1" applyFont="1" applyBorder="1"/>
    <xf numFmtId="0" fontId="8" fillId="0" borderId="0" xfId="0" applyFont="1" applyBorder="1"/>
    <xf numFmtId="0" fontId="2" fillId="0" borderId="0" xfId="0" applyFont="1" applyBorder="1"/>
    <xf numFmtId="1" fontId="4" fillId="0" borderId="1" xfId="0" applyNumberFormat="1" applyFont="1" applyBorder="1"/>
    <xf numFmtId="0" fontId="8" fillId="0" borderId="11" xfId="0" applyFont="1" applyFill="1" applyBorder="1"/>
    <xf numFmtId="0" fontId="8" fillId="0" borderId="1" xfId="0" applyFont="1" applyFill="1" applyBorder="1"/>
    <xf numFmtId="164" fontId="0" fillId="0" borderId="0" xfId="0" applyNumberFormat="1"/>
    <xf numFmtId="164" fontId="5" fillId="7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0" xfId="1" applyNumberFormat="1" applyFont="1" applyFill="1" applyBorder="1" applyAlignment="1">
      <alignment horizontal="left" wrapText="1"/>
    </xf>
    <xf numFmtId="0" fontId="14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1" fontId="5" fillId="7" borderId="1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8" fillId="0" borderId="0" xfId="0" applyFont="1" applyFill="1" applyBorder="1"/>
    <xf numFmtId="2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164" fontId="2" fillId="0" borderId="35" xfId="0" applyNumberFormat="1" applyFont="1" applyBorder="1" applyAlignment="1"/>
    <xf numFmtId="164" fontId="2" fillId="0" borderId="4" xfId="0" applyNumberFormat="1" applyFont="1" applyFill="1" applyBorder="1" applyAlignment="1"/>
    <xf numFmtId="164" fontId="2" fillId="0" borderId="36" xfId="0" applyNumberFormat="1" applyFont="1" applyFill="1" applyBorder="1" applyAlignment="1"/>
    <xf numFmtId="0" fontId="0" fillId="0" borderId="13" xfId="0" applyBorder="1"/>
    <xf numFmtId="0" fontId="11" fillId="0" borderId="5" xfId="0" applyFont="1" applyBorder="1"/>
    <xf numFmtId="164" fontId="11" fillId="0" borderId="5" xfId="0" applyNumberFormat="1" applyFont="1" applyBorder="1"/>
    <xf numFmtId="0" fontId="12" fillId="0" borderId="6" xfId="0" applyFont="1" applyFill="1" applyBorder="1"/>
    <xf numFmtId="164" fontId="17" fillId="0" borderId="4" xfId="0" applyNumberFormat="1" applyFont="1" applyFill="1" applyBorder="1" applyAlignment="1"/>
    <xf numFmtId="2" fontId="18" fillId="0" borderId="13" xfId="0" applyNumberFormat="1" applyFont="1" applyBorder="1"/>
    <xf numFmtId="0" fontId="18" fillId="0" borderId="13" xfId="0" applyFont="1" applyBorder="1"/>
    <xf numFmtId="0" fontId="19" fillId="0" borderId="1" xfId="0" applyFont="1" applyFill="1" applyBorder="1"/>
    <xf numFmtId="0" fontId="19" fillId="0" borderId="1" xfId="1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0" fillId="0" borderId="0" xfId="0" applyFont="1"/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2" borderId="1" xfId="1" applyNumberFormat="1" applyFont="1" applyFill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1" xfId="1" applyNumberFormat="1" applyFont="1" applyFill="1" applyBorder="1" applyAlignment="1">
      <alignment horizontal="left"/>
    </xf>
    <xf numFmtId="0" fontId="23" fillId="0" borderId="1" xfId="1" applyNumberFormat="1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2" borderId="1" xfId="1" applyNumberFormat="1" applyFont="1" applyFill="1" applyBorder="1" applyAlignment="1">
      <alignment horizontal="center"/>
    </xf>
    <xf numFmtId="0" fontId="14" fillId="2" borderId="1" xfId="1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0" fontId="23" fillId="0" borderId="1" xfId="1" applyNumberFormat="1" applyFont="1" applyFill="1" applyBorder="1" applyAlignment="1">
      <alignment horizontal="left" wrapText="1"/>
    </xf>
    <xf numFmtId="0" fontId="23" fillId="2" borderId="1" xfId="1" applyNumberFormat="1" applyFont="1" applyFill="1" applyBorder="1" applyAlignment="1">
      <alignment horizontal="right"/>
    </xf>
    <xf numFmtId="0" fontId="23" fillId="2" borderId="1" xfId="1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0" xfId="0" applyFont="1" applyFill="1" applyBorder="1"/>
    <xf numFmtId="0" fontId="8" fillId="0" borderId="1" xfId="0" applyFont="1" applyFill="1" applyBorder="1" applyAlignment="1">
      <alignment horizontal="center"/>
    </xf>
    <xf numFmtId="0" fontId="3" fillId="4" borderId="3" xfId="0" applyFont="1" applyFill="1" applyBorder="1"/>
    <xf numFmtId="0" fontId="8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8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2" fontId="2" fillId="3" borderId="1" xfId="0" applyNumberFormat="1" applyFont="1" applyFill="1" applyBorder="1"/>
    <xf numFmtId="0" fontId="2" fillId="4" borderId="1" xfId="0" applyFont="1" applyFill="1" applyBorder="1"/>
    <xf numFmtId="0" fontId="8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4" borderId="1" xfId="0" applyFont="1" applyFill="1" applyBorder="1"/>
    <xf numFmtId="2" fontId="2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7" fillId="2" borderId="26" xfId="0" applyFont="1" applyFill="1" applyBorder="1"/>
    <xf numFmtId="0" fontId="17" fillId="2" borderId="7" xfId="0" applyFont="1" applyFill="1" applyBorder="1"/>
    <xf numFmtId="0" fontId="17" fillId="2" borderId="17" xfId="0" applyFont="1" applyFill="1" applyBorder="1"/>
    <xf numFmtId="0" fontId="17" fillId="5" borderId="7" xfId="0" applyFont="1" applyFill="1" applyBorder="1"/>
    <xf numFmtId="0" fontId="24" fillId="0" borderId="0" xfId="0" applyFont="1" applyFill="1" applyBorder="1"/>
    <xf numFmtId="0" fontId="25" fillId="2" borderId="15" xfId="0" applyFont="1" applyFill="1" applyBorder="1"/>
    <xf numFmtId="0" fontId="3" fillId="0" borderId="13" xfId="0" applyFont="1" applyBorder="1"/>
    <xf numFmtId="164" fontId="3" fillId="3" borderId="12" xfId="0" applyNumberFormat="1" applyFont="1" applyFill="1" applyBorder="1"/>
    <xf numFmtId="9" fontId="3" fillId="5" borderId="13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9" fontId="3" fillId="0" borderId="0" xfId="0" applyNumberFormat="1" applyFont="1" applyFill="1" applyBorder="1" applyAlignment="1">
      <alignment horizontal="center"/>
    </xf>
    <xf numFmtId="0" fontId="25" fillId="2" borderId="4" xfId="0" applyFont="1" applyFill="1" applyBorder="1"/>
    <xf numFmtId="2" fontId="3" fillId="0" borderId="5" xfId="0" applyNumberFormat="1" applyFont="1" applyBorder="1"/>
    <xf numFmtId="164" fontId="3" fillId="3" borderId="6" xfId="0" applyNumberFormat="1" applyFont="1" applyFill="1" applyBorder="1"/>
    <xf numFmtId="9" fontId="3" fillId="5" borderId="5" xfId="0" applyNumberFormat="1" applyFont="1" applyFill="1" applyBorder="1" applyAlignment="1">
      <alignment horizontal="center"/>
    </xf>
    <xf numFmtId="0" fontId="17" fillId="3" borderId="26" xfId="0" applyFont="1" applyFill="1" applyBorder="1"/>
    <xf numFmtId="2" fontId="3" fillId="3" borderId="7" xfId="0" applyNumberFormat="1" applyFont="1" applyFill="1" applyBorder="1"/>
    <xf numFmtId="0" fontId="3" fillId="3" borderId="17" xfId="0" applyFont="1" applyFill="1" applyBorder="1"/>
    <xf numFmtId="0" fontId="3" fillId="0" borderId="7" xfId="0" applyFont="1" applyBorder="1"/>
    <xf numFmtId="0" fontId="26" fillId="0" borderId="1" xfId="0" applyFont="1" applyBorder="1" applyAlignment="1">
      <alignment wrapText="1"/>
    </xf>
    <xf numFmtId="0" fontId="2" fillId="0" borderId="0" xfId="0" applyFont="1"/>
    <xf numFmtId="2" fontId="2" fillId="4" borderId="0" xfId="0" applyNumberFormat="1" applyFont="1" applyFill="1" applyBorder="1"/>
    <xf numFmtId="0" fontId="8" fillId="0" borderId="1" xfId="0" applyFont="1" applyBorder="1"/>
    <xf numFmtId="0" fontId="20" fillId="0" borderId="0" xfId="0" applyFont="1" applyBorder="1"/>
    <xf numFmtId="0" fontId="23" fillId="2" borderId="1" xfId="1" applyNumberFormat="1" applyFont="1" applyFill="1" applyBorder="1" applyAlignment="1">
      <alignment horizontal="left" wrapText="1"/>
    </xf>
    <xf numFmtId="164" fontId="3" fillId="0" borderId="1" xfId="0" applyNumberFormat="1" applyFont="1" applyBorder="1"/>
    <xf numFmtId="0" fontId="23" fillId="2" borderId="0" xfId="1" applyNumberFormat="1" applyFont="1" applyFill="1" applyBorder="1" applyAlignment="1">
      <alignment horizontal="left" wrapText="1"/>
    </xf>
    <xf numFmtId="166" fontId="3" fillId="0" borderId="1" xfId="0" applyNumberFormat="1" applyFont="1" applyBorder="1"/>
    <xf numFmtId="0" fontId="8" fillId="4" borderId="1" xfId="0" applyFont="1" applyFill="1" applyBorder="1" applyAlignment="1">
      <alignment wrapText="1"/>
    </xf>
    <xf numFmtId="2" fontId="23" fillId="0" borderId="1" xfId="1" applyNumberFormat="1" applyFont="1" applyFill="1" applyBorder="1" applyAlignment="1">
      <alignment horizontal="center"/>
    </xf>
    <xf numFmtId="0" fontId="2" fillId="0" borderId="2" xfId="0" applyFont="1" applyBorder="1"/>
    <xf numFmtId="0" fontId="13" fillId="0" borderId="1" xfId="1" applyNumberFormat="1" applyFont="1" applyFill="1" applyBorder="1" applyAlignment="1">
      <alignment horizontal="left"/>
    </xf>
    <xf numFmtId="0" fontId="13" fillId="0" borderId="0" xfId="1" applyNumberFormat="1" applyFont="1" applyFill="1" applyBorder="1" applyAlignment="1">
      <alignment horizontal="left"/>
    </xf>
    <xf numFmtId="0" fontId="23" fillId="0" borderId="0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2" fontId="14" fillId="2" borderId="1" xfId="1" applyNumberFormat="1" applyFont="1" applyFill="1" applyBorder="1" applyAlignment="1">
      <alignment horizontal="right"/>
    </xf>
    <xf numFmtId="2" fontId="23" fillId="2" borderId="1" xfId="1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0" fillId="0" borderId="0" xfId="0" applyNumberFormat="1" applyFont="1"/>
    <xf numFmtId="2" fontId="17" fillId="5" borderId="7" xfId="0" applyNumberFormat="1" applyFont="1" applyFill="1" applyBorder="1"/>
    <xf numFmtId="2" fontId="24" fillId="0" borderId="0" xfId="0" applyNumberFormat="1" applyFont="1" applyFill="1" applyBorder="1"/>
    <xf numFmtId="2" fontId="3" fillId="0" borderId="0" xfId="0" applyNumberFormat="1" applyFont="1" applyFill="1" applyBorder="1"/>
    <xf numFmtId="2" fontId="3" fillId="0" borderId="7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3" fillId="0" borderId="1" xfId="1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2" fontId="14" fillId="4" borderId="1" xfId="0" applyNumberFormat="1" applyFont="1" applyFill="1" applyBorder="1" applyAlignment="1">
      <alignment horizontal="center"/>
    </xf>
    <xf numFmtId="2" fontId="23" fillId="4" borderId="1" xfId="0" applyNumberFormat="1" applyFont="1" applyFill="1" applyBorder="1" applyAlignment="1">
      <alignment horizontal="center"/>
    </xf>
    <xf numFmtId="0" fontId="23" fillId="4" borderId="1" xfId="0" applyFont="1" applyFill="1" applyBorder="1"/>
    <xf numFmtId="0" fontId="23" fillId="4" borderId="1" xfId="0" applyFont="1" applyFill="1" applyBorder="1" applyAlignment="1">
      <alignment horizontal="left"/>
    </xf>
    <xf numFmtId="0" fontId="14" fillId="4" borderId="1" xfId="0" applyFont="1" applyFill="1" applyBorder="1" applyAlignment="1"/>
    <xf numFmtId="2" fontId="14" fillId="2" borderId="1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2" fillId="0" borderId="33" xfId="0" applyFont="1" applyFill="1" applyBorder="1"/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" fillId="0" borderId="34" xfId="0" applyNumberFormat="1" applyFont="1" applyFill="1" applyBorder="1"/>
    <xf numFmtId="0" fontId="13" fillId="0" borderId="0" xfId="0" applyFont="1" applyBorder="1" applyAlignment="1">
      <alignment wrapText="1"/>
    </xf>
    <xf numFmtId="0" fontId="27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justify" vertical="center"/>
    </xf>
    <xf numFmtId="0" fontId="23" fillId="2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2" fillId="0" borderId="3" xfId="0" applyFont="1" applyBorder="1"/>
    <xf numFmtId="0" fontId="14" fillId="4" borderId="1" xfId="0" applyFont="1" applyFill="1" applyBorder="1" applyAlignment="1">
      <alignment horizontal="left" wrapText="1"/>
    </xf>
    <xf numFmtId="2" fontId="20" fillId="0" borderId="0" xfId="0" applyNumberFormat="1" applyFont="1" applyAlignment="1">
      <alignment horizontal="center"/>
    </xf>
    <xf numFmtId="2" fontId="17" fillId="5" borderId="7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2" fillId="0" borderId="14" xfId="0" applyNumberFormat="1" applyFont="1" applyFill="1" applyBorder="1" applyAlignment="1"/>
    <xf numFmtId="2" fontId="2" fillId="0" borderId="1" xfId="0" applyNumberFormat="1" applyFont="1" applyBorder="1" applyAlignment="1"/>
    <xf numFmtId="0" fontId="8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/>
    </xf>
    <xf numFmtId="2" fontId="23" fillId="4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left"/>
    </xf>
    <xf numFmtId="2" fontId="23" fillId="2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0" fillId="0" borderId="1" xfId="0" applyFont="1" applyFill="1" applyBorder="1"/>
    <xf numFmtId="0" fontId="3" fillId="4" borderId="11" xfId="0" applyFont="1" applyFill="1" applyBorder="1"/>
    <xf numFmtId="0" fontId="3" fillId="0" borderId="1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4" fillId="2" borderId="0" xfId="1" applyNumberFormat="1" applyFont="1" applyFill="1" applyBorder="1" applyAlignment="1">
      <alignment horizontal="center"/>
    </xf>
    <xf numFmtId="0" fontId="23" fillId="2" borderId="0" xfId="1" applyNumberFormat="1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0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8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0" fillId="0" borderId="0" xfId="0" applyFont="1" applyFill="1" applyBorder="1"/>
    <xf numFmtId="164" fontId="23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23" fillId="2" borderId="1" xfId="1" applyNumberFormat="1" applyFont="1" applyFill="1" applyBorder="1" applyAlignment="1">
      <alignment horizontal="right"/>
    </xf>
    <xf numFmtId="0" fontId="20" fillId="0" borderId="0" xfId="0" applyFont="1" applyFill="1"/>
    <xf numFmtId="0" fontId="2" fillId="0" borderId="1" xfId="0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3" fillId="0" borderId="3" xfId="0" applyFont="1" applyFill="1" applyBorder="1"/>
    <xf numFmtId="166" fontId="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2" fontId="15" fillId="2" borderId="1" xfId="1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/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wrapText="1"/>
    </xf>
    <xf numFmtId="0" fontId="23" fillId="0" borderId="0" xfId="1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4" borderId="14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164" fontId="23" fillId="0" borderId="14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/>
    </xf>
    <xf numFmtId="165" fontId="23" fillId="2" borderId="1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horizontal="center"/>
    </xf>
    <xf numFmtId="2" fontId="23" fillId="4" borderId="0" xfId="0" applyNumberFormat="1" applyFont="1" applyFill="1" applyBorder="1" applyAlignment="1">
      <alignment horizontal="center"/>
    </xf>
    <xf numFmtId="0" fontId="23" fillId="4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left" wrapText="1"/>
    </xf>
    <xf numFmtId="2" fontId="23" fillId="0" borderId="1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6" xfId="0" applyFont="1" applyFill="1" applyBorder="1"/>
    <xf numFmtId="0" fontId="23" fillId="4" borderId="0" xfId="0" applyFont="1" applyFill="1" applyBorder="1" applyAlignment="1">
      <alignment horizontal="center"/>
    </xf>
    <xf numFmtId="0" fontId="2" fillId="0" borderId="2" xfId="0" applyFont="1" applyFill="1" applyBorder="1"/>
    <xf numFmtId="164" fontId="2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/>
    <xf numFmtId="0" fontId="2" fillId="0" borderId="1" xfId="0" applyFont="1" applyBorder="1" applyAlignment="1"/>
    <xf numFmtId="0" fontId="21" fillId="0" borderId="1" xfId="0" applyFont="1" applyBorder="1" applyAlignment="1"/>
    <xf numFmtId="0" fontId="2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1" fillId="0" borderId="3" xfId="0" applyNumberFormat="1" applyFont="1" applyBorder="1" applyAlignment="1">
      <alignment horizontal="center" wrapText="1"/>
    </xf>
    <xf numFmtId="0" fontId="3" fillId="0" borderId="0" xfId="0" applyFont="1" applyAlignment="1"/>
    <xf numFmtId="2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84"/>
  <sheetViews>
    <sheetView tabSelected="1" view="pageBreakPreview" zoomScaleSheetLayoutView="100" workbookViewId="0">
      <selection activeCell="G10" sqref="G10"/>
    </sheetView>
  </sheetViews>
  <sheetFormatPr defaultRowHeight="15.75" x14ac:dyDescent="0.25"/>
  <cols>
    <col min="1" max="1" width="20.7109375" style="124" customWidth="1"/>
    <col min="2" max="2" width="22.140625" style="124" customWidth="1"/>
    <col min="3" max="7" width="9.140625" style="124"/>
    <col min="8" max="9" width="10.42578125" style="124" customWidth="1"/>
    <col min="10" max="10" width="15.42578125" style="124" customWidth="1"/>
    <col min="11" max="12" width="9.140625" style="124"/>
    <col min="13" max="13" width="10" style="124" bestFit="1" customWidth="1"/>
    <col min="14" max="16384" width="9.140625" style="124"/>
  </cols>
  <sheetData>
    <row r="1" spans="1:23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02" t="s">
        <v>462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 x14ac:dyDescent="0.25">
      <c r="A4" s="411" t="s">
        <v>1</v>
      </c>
      <c r="B4" s="411" t="s">
        <v>2</v>
      </c>
      <c r="C4" s="411" t="s">
        <v>3</v>
      </c>
      <c r="D4" s="413" t="s">
        <v>12</v>
      </c>
      <c r="E4" s="414"/>
      <c r="F4" s="409" t="s">
        <v>7</v>
      </c>
      <c r="G4" s="410"/>
      <c r="H4" s="410"/>
      <c r="I4" s="411" t="s">
        <v>8</v>
      </c>
      <c r="J4" s="409" t="s">
        <v>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9.25" customHeight="1" x14ac:dyDescent="0.25">
      <c r="A5" s="412"/>
      <c r="B5" s="412"/>
      <c r="C5" s="412"/>
      <c r="D5" s="121" t="s">
        <v>10</v>
      </c>
      <c r="E5" s="121" t="s">
        <v>11</v>
      </c>
      <c r="F5" s="4" t="s">
        <v>4</v>
      </c>
      <c r="G5" s="4" t="s">
        <v>5</v>
      </c>
      <c r="H5" s="4" t="s">
        <v>6</v>
      </c>
      <c r="I5" s="412"/>
      <c r="J5" s="4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 x14ac:dyDescent="0.25">
      <c r="A6" s="201" t="s">
        <v>13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1.5" x14ac:dyDescent="0.25">
      <c r="A7" s="4" t="s">
        <v>14</v>
      </c>
      <c r="B7" s="125" t="s">
        <v>15</v>
      </c>
      <c r="C7" s="126">
        <v>130</v>
      </c>
      <c r="D7" s="122"/>
      <c r="E7" s="122"/>
      <c r="F7" s="126">
        <v>3.93</v>
      </c>
      <c r="G7" s="126">
        <v>5.09</v>
      </c>
      <c r="H7" s="126">
        <v>19.72</v>
      </c>
      <c r="I7" s="126">
        <v>140.79</v>
      </c>
      <c r="J7" s="4" t="s">
        <v>83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3"/>
      <c r="B8" s="66" t="s">
        <v>17</v>
      </c>
      <c r="C8" s="122"/>
      <c r="D8" s="122">
        <f>C7*30/200</f>
        <v>19.5</v>
      </c>
      <c r="E8" s="122">
        <f>C7*30/200</f>
        <v>19.5</v>
      </c>
      <c r="F8" s="126"/>
      <c r="G8" s="126"/>
      <c r="H8" s="126"/>
      <c r="I8" s="126"/>
      <c r="J8" s="4" t="s">
        <v>16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66" t="s">
        <v>27</v>
      </c>
      <c r="C9" s="122"/>
      <c r="D9" s="122">
        <v>44.5</v>
      </c>
      <c r="E9" s="122">
        <v>44.5</v>
      </c>
      <c r="F9" s="126"/>
      <c r="G9" s="126"/>
      <c r="H9" s="126"/>
      <c r="I9" s="126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3"/>
      <c r="B10" s="123" t="s">
        <v>18</v>
      </c>
      <c r="C10" s="122"/>
      <c r="D10" s="122">
        <v>67.3</v>
      </c>
      <c r="E10" s="122">
        <v>67.3</v>
      </c>
      <c r="F10" s="126"/>
      <c r="G10" s="126"/>
      <c r="H10" s="126"/>
      <c r="I10" s="126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5">
      <c r="A11" s="3"/>
      <c r="B11" s="66" t="s">
        <v>19</v>
      </c>
      <c r="C11" s="122"/>
      <c r="D11" s="122">
        <v>3.1</v>
      </c>
      <c r="E11" s="122">
        <v>3.1</v>
      </c>
      <c r="F11" s="126"/>
      <c r="G11" s="126"/>
      <c r="H11" s="126"/>
      <c r="I11" s="126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3"/>
      <c r="B12" s="66" t="s">
        <v>20</v>
      </c>
      <c r="C12" s="122"/>
      <c r="D12" s="122">
        <v>0.52</v>
      </c>
      <c r="E12" s="122">
        <v>0.52</v>
      </c>
      <c r="F12" s="126"/>
      <c r="G12" s="126"/>
      <c r="H12" s="126"/>
      <c r="I12" s="126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3"/>
      <c r="B13" s="46" t="s">
        <v>21</v>
      </c>
      <c r="C13" s="122"/>
      <c r="D13" s="122"/>
      <c r="E13" s="126">
        <v>127</v>
      </c>
      <c r="F13" s="126"/>
      <c r="G13" s="126"/>
      <c r="H13" s="126"/>
      <c r="I13" s="126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3"/>
      <c r="B14" s="66" t="s">
        <v>22</v>
      </c>
      <c r="C14" s="122"/>
      <c r="D14" s="122">
        <v>3</v>
      </c>
      <c r="E14" s="122">
        <v>3</v>
      </c>
      <c r="F14" s="126"/>
      <c r="G14" s="126"/>
      <c r="H14" s="126"/>
      <c r="I14" s="126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3"/>
      <c r="B15" s="97" t="s">
        <v>391</v>
      </c>
      <c r="C15" s="126">
        <v>40</v>
      </c>
      <c r="D15" s="127">
        <v>40</v>
      </c>
      <c r="E15" s="127">
        <v>40</v>
      </c>
      <c r="F15" s="126">
        <v>5.08</v>
      </c>
      <c r="G15" s="126">
        <v>4.5999999999999996</v>
      </c>
      <c r="H15" s="126">
        <v>0.28000000000000003</v>
      </c>
      <c r="I15" s="128">
        <v>62.8</v>
      </c>
      <c r="J15" s="4" t="s">
        <v>392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3"/>
      <c r="B16" s="97" t="s">
        <v>23</v>
      </c>
      <c r="C16" s="129">
        <v>5</v>
      </c>
      <c r="D16" s="130">
        <f>C16*16.5/15</f>
        <v>5.5</v>
      </c>
      <c r="E16" s="130">
        <v>5</v>
      </c>
      <c r="F16" s="126">
        <v>1.3</v>
      </c>
      <c r="G16" s="126">
        <v>1.34</v>
      </c>
      <c r="H16" s="126">
        <v>0</v>
      </c>
      <c r="I16" s="126">
        <v>17.600000000000001</v>
      </c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31.5" x14ac:dyDescent="0.25">
      <c r="A17" s="3"/>
      <c r="B17" s="131" t="s">
        <v>24</v>
      </c>
      <c r="C17" s="129">
        <v>150</v>
      </c>
      <c r="D17" s="132">
        <v>200</v>
      </c>
      <c r="E17" s="133"/>
      <c r="F17" s="129">
        <v>2.1</v>
      </c>
      <c r="G17" s="129">
        <v>2.4</v>
      </c>
      <c r="H17" s="129">
        <v>14.77</v>
      </c>
      <c r="I17" s="129">
        <v>89.01</v>
      </c>
      <c r="J17" s="4" t="s">
        <v>319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3"/>
      <c r="B18" s="134" t="s">
        <v>25</v>
      </c>
      <c r="C18" s="135"/>
      <c r="D18" s="135">
        <f>$C$17*2/200</f>
        <v>1.5</v>
      </c>
      <c r="E18" s="135">
        <f>C17*2/200</f>
        <v>1.5</v>
      </c>
      <c r="F18" s="129"/>
      <c r="G18" s="129"/>
      <c r="H18" s="129"/>
      <c r="I18" s="129"/>
      <c r="J18" s="4" t="s">
        <v>16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s="3"/>
      <c r="B19" s="134" t="s">
        <v>19</v>
      </c>
      <c r="C19" s="135"/>
      <c r="D19" s="135">
        <f>C17*15/200</f>
        <v>11.25</v>
      </c>
      <c r="E19" s="135">
        <f>C17*15/D17</f>
        <v>11.25</v>
      </c>
      <c r="F19" s="129"/>
      <c r="G19" s="129"/>
      <c r="H19" s="129"/>
      <c r="I19" s="129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3"/>
      <c r="B20" s="134" t="s">
        <v>26</v>
      </c>
      <c r="C20" s="135"/>
      <c r="D20" s="135">
        <f>C17*100/200</f>
        <v>75</v>
      </c>
      <c r="E20" s="135">
        <f>C17*100/D17</f>
        <v>75</v>
      </c>
      <c r="F20" s="129"/>
      <c r="G20" s="129"/>
      <c r="H20" s="129"/>
      <c r="I20" s="129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3"/>
      <c r="B21" s="134" t="s">
        <v>27</v>
      </c>
      <c r="C21" s="136">
        <v>20</v>
      </c>
      <c r="D21" s="135">
        <f>C17*120/200</f>
        <v>90</v>
      </c>
      <c r="E21" s="135">
        <f>C17*120/D17</f>
        <v>90</v>
      </c>
      <c r="F21" s="129"/>
      <c r="G21" s="129"/>
      <c r="H21" s="129"/>
      <c r="I21" s="129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s="3"/>
      <c r="B22" s="125" t="s">
        <v>84</v>
      </c>
      <c r="C22" s="129">
        <v>10</v>
      </c>
      <c r="D22" s="130">
        <f>C22</f>
        <v>10</v>
      </c>
      <c r="E22" s="130">
        <f>C22</f>
        <v>10</v>
      </c>
      <c r="F22" s="129">
        <f>C22*1.54/K22</f>
        <v>0.77</v>
      </c>
      <c r="G22" s="129">
        <f>C22*0.28/K22</f>
        <v>0.14000000000000001</v>
      </c>
      <c r="H22" s="129">
        <f>C22*7.52/K22</f>
        <v>3.7599999999999993</v>
      </c>
      <c r="I22" s="129">
        <f>C22*40.2/K22</f>
        <v>20.100000000000001</v>
      </c>
      <c r="J22" s="3"/>
      <c r="K22" s="72">
        <v>20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5" t="s">
        <v>30</v>
      </c>
      <c r="B23" s="6"/>
      <c r="C23" s="8">
        <f>SUM(C7:C22)</f>
        <v>355</v>
      </c>
      <c r="D23" s="6"/>
      <c r="E23" s="6"/>
      <c r="F23" s="8">
        <f>SUM(F7:F22)</f>
        <v>13.18</v>
      </c>
      <c r="G23" s="8">
        <f>SUM(G7:G22)</f>
        <v>13.57</v>
      </c>
      <c r="H23" s="8">
        <f>SUM(H7:H22)</f>
        <v>38.529999999999994</v>
      </c>
      <c r="I23" s="8">
        <f>SUM(I7:I22)</f>
        <v>330.3</v>
      </c>
      <c r="J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5">
      <c r="A24" s="4" t="s">
        <v>31</v>
      </c>
      <c r="B24" s="97" t="s">
        <v>407</v>
      </c>
      <c r="C24" s="126">
        <v>140</v>
      </c>
      <c r="D24" s="122">
        <f>C24</f>
        <v>140</v>
      </c>
      <c r="E24" s="122">
        <f>C24</f>
        <v>140</v>
      </c>
      <c r="F24" s="126">
        <v>0</v>
      </c>
      <c r="G24" s="126">
        <v>0</v>
      </c>
      <c r="H24" s="126">
        <v>16.100000000000001</v>
      </c>
      <c r="I24" s="126">
        <f>C24*92/K24</f>
        <v>64.400000000000006</v>
      </c>
      <c r="J24" s="3"/>
      <c r="K24" s="72">
        <v>200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31.5" x14ac:dyDescent="0.25">
      <c r="A25" s="9" t="s">
        <v>32</v>
      </c>
      <c r="B25" s="6"/>
      <c r="C25" s="6"/>
      <c r="D25" s="6"/>
      <c r="E25" s="6"/>
      <c r="F25" s="8">
        <f>SUM(F24)</f>
        <v>0</v>
      </c>
      <c r="G25" s="8">
        <f>SUM(G24)</f>
        <v>0</v>
      </c>
      <c r="H25" s="8">
        <f>SUM(H24)</f>
        <v>16.100000000000001</v>
      </c>
      <c r="I25" s="8">
        <f>SUM(I24)</f>
        <v>64.400000000000006</v>
      </c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10" t="s">
        <v>33</v>
      </c>
      <c r="B26" s="96" t="s">
        <v>40</v>
      </c>
      <c r="C26" s="137">
        <v>40</v>
      </c>
      <c r="D26" s="11"/>
      <c r="E26" s="11"/>
      <c r="F26" s="10">
        <f>C26*1.14/K26</f>
        <v>0.7599999999999999</v>
      </c>
      <c r="G26" s="4">
        <f>C26*4.56/K26</f>
        <v>3.0399999999999996</v>
      </c>
      <c r="H26" s="4">
        <v>4.5199999999999996</v>
      </c>
      <c r="I26" s="4">
        <v>48.84</v>
      </c>
      <c r="J26" s="4" t="s">
        <v>41</v>
      </c>
      <c r="K26" s="72">
        <v>60</v>
      </c>
      <c r="L26" s="93"/>
      <c r="M26" s="138"/>
      <c r="N26" s="69"/>
      <c r="O26" s="69"/>
      <c r="P26" s="94"/>
      <c r="Q26" s="94"/>
      <c r="R26" s="94"/>
      <c r="S26" s="94"/>
      <c r="T26" s="94"/>
      <c r="U26" s="69"/>
      <c r="V26" s="2"/>
      <c r="W26" s="2"/>
    </row>
    <row r="27" spans="1:23" x14ac:dyDescent="0.25">
      <c r="A27" s="3"/>
      <c r="B27" s="139" t="s">
        <v>34</v>
      </c>
      <c r="C27" s="129"/>
      <c r="D27" s="140">
        <f>C26*57.4/K26</f>
        <v>38.266666666666666</v>
      </c>
      <c r="E27" s="140">
        <f>C26*46/K26</f>
        <v>30.666666666666668</v>
      </c>
      <c r="F27" s="4"/>
      <c r="G27" s="4"/>
      <c r="H27" s="4"/>
      <c r="I27" s="4"/>
      <c r="J27" s="4" t="s">
        <v>42</v>
      </c>
      <c r="K27" s="2"/>
      <c r="L27" s="141"/>
      <c r="M27" s="138"/>
      <c r="N27" s="142"/>
      <c r="O27" s="142"/>
      <c r="P27" s="94"/>
      <c r="Q27" s="94"/>
      <c r="R27" s="94"/>
      <c r="S27" s="94"/>
      <c r="T27" s="94"/>
      <c r="U27" s="69"/>
      <c r="V27" s="2"/>
      <c r="W27" s="2"/>
    </row>
    <row r="28" spans="1:23" x14ac:dyDescent="0.25">
      <c r="A28" s="3"/>
      <c r="B28" s="139" t="s">
        <v>35</v>
      </c>
      <c r="C28" s="129"/>
      <c r="D28" s="140">
        <f>C26*12.5/K26</f>
        <v>8.3333333333333339</v>
      </c>
      <c r="E28" s="140">
        <f>C26*10.5/K26</f>
        <v>7</v>
      </c>
      <c r="F28" s="4"/>
      <c r="G28" s="4"/>
      <c r="H28" s="4"/>
      <c r="I28" s="4"/>
      <c r="J28" s="3"/>
      <c r="K28" s="2"/>
      <c r="L28" s="141"/>
      <c r="M28" s="138"/>
      <c r="N28" s="142"/>
      <c r="O28" s="142"/>
      <c r="P28" s="94"/>
      <c r="Q28" s="94"/>
      <c r="R28" s="94"/>
      <c r="S28" s="94"/>
      <c r="T28" s="69"/>
      <c r="U28" s="69"/>
      <c r="V28" s="2"/>
      <c r="W28" s="2"/>
    </row>
    <row r="29" spans="1:23" x14ac:dyDescent="0.25">
      <c r="A29" s="3"/>
      <c r="B29" s="143" t="s">
        <v>463</v>
      </c>
      <c r="C29" s="129"/>
      <c r="D29" s="144">
        <f>C26*6.6/K26</f>
        <v>4.4000000000000004</v>
      </c>
      <c r="E29" s="144">
        <f>C26*6.6/K26</f>
        <v>4.4000000000000004</v>
      </c>
      <c r="F29" s="4"/>
      <c r="G29" s="4"/>
      <c r="H29" s="4"/>
      <c r="I29" s="4"/>
      <c r="J29" s="3"/>
      <c r="K29" s="2"/>
      <c r="L29" s="141"/>
      <c r="M29" s="138"/>
      <c r="N29" s="142"/>
      <c r="O29" s="142"/>
      <c r="P29" s="94"/>
      <c r="Q29" s="94"/>
      <c r="R29" s="94"/>
      <c r="S29" s="94"/>
      <c r="T29" s="69"/>
      <c r="U29" s="69"/>
      <c r="V29" s="2"/>
      <c r="W29" s="2"/>
    </row>
    <row r="30" spans="1:23" x14ac:dyDescent="0.25">
      <c r="A30" s="3"/>
      <c r="B30" s="145" t="s">
        <v>37</v>
      </c>
      <c r="C30" s="129"/>
      <c r="D30" s="144">
        <f>C26*4.5/K26</f>
        <v>3</v>
      </c>
      <c r="E30" s="144">
        <f>C26*4.5/K26</f>
        <v>3</v>
      </c>
      <c r="F30" s="4"/>
      <c r="G30" s="4"/>
      <c r="H30" s="4"/>
      <c r="I30" s="4"/>
      <c r="J30" s="3"/>
      <c r="K30" s="2"/>
      <c r="L30" s="146"/>
      <c r="M30" s="138"/>
      <c r="N30" s="142"/>
      <c r="O30" s="142"/>
      <c r="P30" s="94"/>
      <c r="Q30" s="94"/>
      <c r="R30" s="94"/>
      <c r="S30" s="94"/>
      <c r="T30" s="69"/>
      <c r="U30" s="69"/>
      <c r="V30" s="2"/>
      <c r="W30" s="2"/>
    </row>
    <row r="31" spans="1:23" x14ac:dyDescent="0.25">
      <c r="A31" s="3"/>
      <c r="B31" s="145" t="s">
        <v>38</v>
      </c>
      <c r="C31" s="129"/>
      <c r="D31" s="144">
        <f>C26*0.027/K26</f>
        <v>1.8000000000000002E-2</v>
      </c>
      <c r="E31" s="144">
        <f>C26*0.027/K26</f>
        <v>1.8000000000000002E-2</v>
      </c>
      <c r="F31" s="4"/>
      <c r="G31" s="4"/>
      <c r="H31" s="4"/>
      <c r="I31" s="4"/>
      <c r="J31" s="3"/>
      <c r="K31" s="2"/>
      <c r="L31" s="146"/>
      <c r="M31" s="138"/>
      <c r="N31" s="142"/>
      <c r="O31" s="142"/>
      <c r="P31" s="94"/>
      <c r="Q31" s="94"/>
      <c r="R31" s="94"/>
      <c r="S31" s="94"/>
      <c r="T31" s="69"/>
      <c r="U31" s="69"/>
      <c r="V31" s="2"/>
      <c r="W31" s="2"/>
    </row>
    <row r="32" spans="1:23" x14ac:dyDescent="0.25">
      <c r="A32" s="3"/>
      <c r="B32" s="139" t="s">
        <v>39</v>
      </c>
      <c r="C32" s="129"/>
      <c r="D32" s="144">
        <f>C26*0.72/K26</f>
        <v>0.47999999999999993</v>
      </c>
      <c r="E32" s="144">
        <f>C26*0.72/K26</f>
        <v>0.47999999999999993</v>
      </c>
      <c r="F32" s="4"/>
      <c r="G32" s="4"/>
      <c r="H32" s="4"/>
      <c r="I32" s="4"/>
      <c r="J32" s="3"/>
      <c r="K32" s="2"/>
      <c r="L32" s="141"/>
      <c r="M32" s="138"/>
      <c r="N32" s="142"/>
      <c r="O32" s="142"/>
      <c r="P32" s="94"/>
      <c r="Q32" s="94"/>
      <c r="R32" s="94"/>
      <c r="S32" s="94"/>
      <c r="T32" s="69"/>
      <c r="U32" s="69"/>
      <c r="V32" s="2"/>
      <c r="W32" s="2"/>
    </row>
    <row r="33" spans="1:23" x14ac:dyDescent="0.25">
      <c r="A33" s="3"/>
      <c r="B33" s="139" t="s">
        <v>20</v>
      </c>
      <c r="C33" s="129"/>
      <c r="D33" s="144">
        <f>C26*0.6/K26</f>
        <v>0.4</v>
      </c>
      <c r="E33" s="144">
        <f>C26*0.6/K26</f>
        <v>0.4</v>
      </c>
      <c r="F33" s="4"/>
      <c r="G33" s="4"/>
      <c r="H33" s="4"/>
      <c r="I33" s="4"/>
      <c r="J33" s="3"/>
      <c r="K33" s="2"/>
      <c r="L33" s="141"/>
      <c r="M33" s="138"/>
      <c r="N33" s="142"/>
      <c r="O33" s="142"/>
      <c r="P33" s="94"/>
      <c r="Q33" s="94"/>
      <c r="R33" s="94"/>
      <c r="S33" s="94"/>
      <c r="T33" s="69"/>
      <c r="U33" s="69"/>
      <c r="V33" s="2"/>
      <c r="W33" s="2"/>
    </row>
    <row r="34" spans="1:23" ht="31.5" x14ac:dyDescent="0.25">
      <c r="A34" s="3"/>
      <c r="B34" s="15" t="s">
        <v>52</v>
      </c>
      <c r="C34" s="129">
        <v>165</v>
      </c>
      <c r="D34" s="3"/>
      <c r="E34" s="3"/>
      <c r="F34" s="105">
        <v>4.0999999999999996</v>
      </c>
      <c r="G34" s="105">
        <v>4.32</v>
      </c>
      <c r="H34" s="105">
        <v>8.44</v>
      </c>
      <c r="I34" s="105">
        <v>88.73</v>
      </c>
      <c r="J34" s="4" t="s">
        <v>53</v>
      </c>
      <c r="K34" s="2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2"/>
      <c r="W34" s="2"/>
    </row>
    <row r="35" spans="1:23" x14ac:dyDescent="0.25">
      <c r="A35" s="3"/>
      <c r="B35" s="3" t="s">
        <v>43</v>
      </c>
      <c r="C35" s="130"/>
      <c r="D35" s="76">
        <f>E37*20.8/K37</f>
        <v>17.333333333333332</v>
      </c>
      <c r="E35" s="76">
        <f>E37*19/K37</f>
        <v>15.833333333333334</v>
      </c>
      <c r="F35" s="4"/>
      <c r="G35" s="4"/>
      <c r="H35" s="4"/>
      <c r="I35" s="4"/>
      <c r="J35" s="4" t="s">
        <v>16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3"/>
      <c r="B36" s="3" t="s">
        <v>27</v>
      </c>
      <c r="C36" s="130"/>
      <c r="D36" s="76">
        <v>153</v>
      </c>
      <c r="E36" s="76">
        <v>153</v>
      </c>
      <c r="F36" s="4"/>
      <c r="G36" s="4"/>
      <c r="H36" s="4"/>
      <c r="I36" s="4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3"/>
      <c r="B37" s="3" t="s">
        <v>44</v>
      </c>
      <c r="C37" s="130"/>
      <c r="D37" s="76"/>
      <c r="E37" s="76">
        <v>10</v>
      </c>
      <c r="F37" s="4"/>
      <c r="G37" s="4"/>
      <c r="H37" s="4"/>
      <c r="I37" s="4"/>
      <c r="J37" s="3"/>
      <c r="K37" s="72">
        <v>12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31.5" x14ac:dyDescent="0.25">
      <c r="A38" s="3"/>
      <c r="B38" s="147" t="s">
        <v>45</v>
      </c>
      <c r="C38" s="130"/>
      <c r="D38" s="76"/>
      <c r="E38" s="76">
        <f>E37*199/K37</f>
        <v>165.83333333333334</v>
      </c>
      <c r="F38" s="4"/>
      <c r="G38" s="4"/>
      <c r="H38" s="4"/>
      <c r="I38" s="4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3"/>
      <c r="B39" s="3" t="s">
        <v>46</v>
      </c>
      <c r="C39" s="148">
        <v>155</v>
      </c>
      <c r="D39" s="76">
        <f>C39*15.9/K39</f>
        <v>13.10904255319149</v>
      </c>
      <c r="E39" s="76">
        <f>C39*15/K39</f>
        <v>12.367021276595745</v>
      </c>
      <c r="F39" s="4"/>
      <c r="G39" s="4"/>
      <c r="H39" s="4"/>
      <c r="I39" s="4"/>
      <c r="J39" s="3"/>
      <c r="K39" s="72">
        <v>188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3"/>
      <c r="B40" s="3" t="s">
        <v>47</v>
      </c>
      <c r="C40" s="130"/>
      <c r="D40" s="76">
        <f>C39*50.6/K39</f>
        <v>41.718085106382979</v>
      </c>
      <c r="E40" s="76">
        <f>C39*37.5/K39</f>
        <v>30.917553191489361</v>
      </c>
      <c r="F40" s="4"/>
      <c r="G40" s="4"/>
      <c r="H40" s="4"/>
      <c r="I40" s="4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3"/>
      <c r="B41" s="3" t="s">
        <v>48</v>
      </c>
      <c r="C41" s="130"/>
      <c r="D41" s="76">
        <f>C39*9.4/K39</f>
        <v>7.75</v>
      </c>
      <c r="E41" s="76">
        <f>C39*7.5/K39</f>
        <v>6.1835106382978724</v>
      </c>
      <c r="F41" s="4"/>
      <c r="G41" s="4"/>
      <c r="H41" s="4"/>
      <c r="I41" s="4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"/>
      <c r="B42" s="3" t="s">
        <v>49</v>
      </c>
      <c r="C42" s="130"/>
      <c r="D42" s="76">
        <f>C39*9.4/K39</f>
        <v>7.75</v>
      </c>
      <c r="E42" s="76">
        <f>C39*7.5/K39</f>
        <v>6.1835106382978724</v>
      </c>
      <c r="F42" s="4"/>
      <c r="G42" s="4"/>
      <c r="H42" s="4"/>
      <c r="I42" s="4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"/>
      <c r="B43" s="3" t="s">
        <v>22</v>
      </c>
      <c r="C43" s="130"/>
      <c r="D43" s="76">
        <f>C39*3.75/K39</f>
        <v>3.0917553191489362</v>
      </c>
      <c r="E43" s="76">
        <f>C39*3.75/K39</f>
        <v>3.0917553191489362</v>
      </c>
      <c r="F43" s="4"/>
      <c r="G43" s="4"/>
      <c r="H43" s="4"/>
      <c r="I43" s="4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"/>
      <c r="B44" s="3" t="s">
        <v>51</v>
      </c>
      <c r="C44" s="130"/>
      <c r="D44" s="76">
        <f>C39*1.35/K39</f>
        <v>1.113031914893617</v>
      </c>
      <c r="E44" s="76">
        <f>C39*1/K39</f>
        <v>0.82446808510638303</v>
      </c>
      <c r="F44" s="4"/>
      <c r="G44" s="4"/>
      <c r="H44" s="4"/>
      <c r="I44" s="4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"/>
      <c r="B45" s="3" t="s">
        <v>20</v>
      </c>
      <c r="C45" s="130"/>
      <c r="D45" s="76">
        <v>0.5</v>
      </c>
      <c r="E45" s="76">
        <v>0.5</v>
      </c>
      <c r="F45" s="4"/>
      <c r="G45" s="4"/>
      <c r="H45" s="4"/>
      <c r="I45" s="4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3"/>
      <c r="B46" s="45" t="s">
        <v>385</v>
      </c>
      <c r="C46" s="149">
        <v>60</v>
      </c>
      <c r="D46" s="150"/>
      <c r="E46" s="150"/>
      <c r="F46" s="46">
        <v>8.32</v>
      </c>
      <c r="G46" s="46">
        <v>9.2200000000000006</v>
      </c>
      <c r="H46" s="151">
        <v>2.11</v>
      </c>
      <c r="I46" s="46">
        <v>124.9</v>
      </c>
      <c r="J46" s="4" t="s">
        <v>386</v>
      </c>
      <c r="K46" s="72">
        <v>80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3"/>
      <c r="B47" s="152" t="s">
        <v>43</v>
      </c>
      <c r="C47" s="149"/>
      <c r="D47" s="153">
        <v>57.3</v>
      </c>
      <c r="E47" s="153">
        <v>52.14</v>
      </c>
      <c r="F47" s="46"/>
      <c r="G47" s="46"/>
      <c r="H47" s="46"/>
      <c r="I47" s="46"/>
      <c r="J47" s="4" t="s">
        <v>42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3"/>
      <c r="B48" s="152" t="s">
        <v>37</v>
      </c>
      <c r="C48" s="149"/>
      <c r="D48" s="153">
        <v>3</v>
      </c>
      <c r="E48" s="153">
        <v>3</v>
      </c>
      <c r="F48" s="46"/>
      <c r="G48" s="46"/>
      <c r="H48" s="46"/>
      <c r="I48" s="46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3"/>
      <c r="B49" s="152" t="s">
        <v>49</v>
      </c>
      <c r="C49" s="149"/>
      <c r="D49" s="153">
        <v>6.48</v>
      </c>
      <c r="E49" s="153">
        <v>5.4</v>
      </c>
      <c r="F49" s="46"/>
      <c r="G49" s="46"/>
      <c r="H49" s="46"/>
      <c r="I49" s="46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3"/>
      <c r="B50" s="152" t="s">
        <v>20</v>
      </c>
      <c r="C50" s="149"/>
      <c r="D50" s="153">
        <v>0.3</v>
      </c>
      <c r="E50" s="153">
        <v>0.3</v>
      </c>
      <c r="F50" s="46"/>
      <c r="G50" s="46"/>
      <c r="H50" s="46"/>
      <c r="I50" s="46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3"/>
      <c r="B51" s="152" t="s">
        <v>54</v>
      </c>
      <c r="C51" s="149"/>
      <c r="D51" s="153">
        <v>1.4999999999999999E-2</v>
      </c>
      <c r="E51" s="153">
        <v>1.4999999999999999E-2</v>
      </c>
      <c r="F51" s="46"/>
      <c r="G51" s="46"/>
      <c r="H51" s="46"/>
      <c r="I51" s="46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3"/>
      <c r="B52" s="152" t="s">
        <v>55</v>
      </c>
      <c r="C52" s="149"/>
      <c r="D52" s="153">
        <v>1.62</v>
      </c>
      <c r="E52" s="153">
        <v>1.62</v>
      </c>
      <c r="F52" s="46"/>
      <c r="G52" s="46"/>
      <c r="H52" s="46"/>
      <c r="I52" s="46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3"/>
      <c r="B53" s="152" t="s">
        <v>56</v>
      </c>
      <c r="C53" s="149"/>
      <c r="D53" s="153">
        <v>1.35</v>
      </c>
      <c r="E53" s="153">
        <v>1.35</v>
      </c>
      <c r="F53" s="46"/>
      <c r="G53" s="46"/>
      <c r="H53" s="46"/>
      <c r="I53" s="46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3"/>
      <c r="B54" s="152" t="s">
        <v>160</v>
      </c>
      <c r="C54" s="149"/>
      <c r="D54" s="153">
        <v>1</v>
      </c>
      <c r="E54" s="153">
        <v>1</v>
      </c>
      <c r="F54" s="46"/>
      <c r="G54" s="46"/>
      <c r="H54" s="46"/>
      <c r="I54" s="46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3"/>
      <c r="B55" s="152" t="s">
        <v>57</v>
      </c>
      <c r="C55" s="149"/>
      <c r="D55" s="153"/>
      <c r="E55" s="153">
        <v>33</v>
      </c>
      <c r="F55" s="46"/>
      <c r="G55" s="46"/>
      <c r="H55" s="46"/>
      <c r="I55" s="46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3"/>
      <c r="B56" s="152" t="s">
        <v>58</v>
      </c>
      <c r="C56" s="154"/>
      <c r="D56" s="153"/>
      <c r="E56" s="153">
        <v>27</v>
      </c>
      <c r="F56" s="4"/>
      <c r="G56" s="4"/>
      <c r="H56" s="4"/>
      <c r="I56" s="4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3"/>
      <c r="B57" s="97" t="s">
        <v>394</v>
      </c>
      <c r="C57" s="126">
        <v>110</v>
      </c>
      <c r="D57" s="122"/>
      <c r="E57" s="122"/>
      <c r="F57" s="126">
        <v>2.34</v>
      </c>
      <c r="G57" s="126">
        <v>4.4400000000000004</v>
      </c>
      <c r="H57" s="126">
        <v>17.079999999999998</v>
      </c>
      <c r="I57" s="126">
        <v>117.66</v>
      </c>
      <c r="J57" s="155" t="s">
        <v>255</v>
      </c>
      <c r="K57" s="72">
        <v>130</v>
      </c>
      <c r="L57" s="106"/>
      <c r="M57" s="156"/>
      <c r="N57" s="157"/>
      <c r="O57" s="157"/>
      <c r="P57" s="156"/>
      <c r="Q57" s="156"/>
      <c r="R57" s="156"/>
      <c r="S57" s="156"/>
      <c r="T57" s="158"/>
      <c r="U57" s="2"/>
      <c r="V57" s="2"/>
      <c r="W57" s="2"/>
    </row>
    <row r="58" spans="1:23" x14ac:dyDescent="0.25">
      <c r="A58" s="3"/>
      <c r="B58" s="66" t="s">
        <v>47</v>
      </c>
      <c r="C58" s="122"/>
      <c r="D58" s="122">
        <v>124.3</v>
      </c>
      <c r="E58" s="122">
        <v>92.4</v>
      </c>
      <c r="F58" s="122"/>
      <c r="G58" s="122"/>
      <c r="H58" s="122"/>
      <c r="I58" s="122"/>
      <c r="J58" s="4" t="s">
        <v>16</v>
      </c>
      <c r="K58" s="2"/>
      <c r="L58" s="70"/>
      <c r="M58" s="157"/>
      <c r="N58" s="157"/>
      <c r="O58" s="157"/>
      <c r="P58" s="157"/>
      <c r="Q58" s="157"/>
      <c r="R58" s="157"/>
      <c r="S58" s="157"/>
      <c r="T58" s="94"/>
      <c r="U58" s="2"/>
      <c r="V58" s="2"/>
      <c r="W58" s="2"/>
    </row>
    <row r="59" spans="1:23" x14ac:dyDescent="0.25">
      <c r="A59" s="3"/>
      <c r="B59" s="66" t="s">
        <v>26</v>
      </c>
      <c r="C59" s="122"/>
      <c r="D59" s="122">
        <v>17.600000000000001</v>
      </c>
      <c r="E59" s="122">
        <v>16.5</v>
      </c>
      <c r="F59" s="159"/>
      <c r="G59" s="159"/>
      <c r="H59" s="159"/>
      <c r="I59" s="159"/>
      <c r="J59" s="160"/>
      <c r="K59" s="2"/>
      <c r="L59" s="70"/>
      <c r="M59" s="157"/>
      <c r="N59" s="157"/>
      <c r="O59" s="157"/>
      <c r="P59" s="161"/>
      <c r="Q59" s="161"/>
      <c r="R59" s="161"/>
      <c r="S59" s="161"/>
      <c r="T59" s="162"/>
      <c r="U59" s="2"/>
      <c r="V59" s="2"/>
      <c r="W59" s="2"/>
    </row>
    <row r="60" spans="1:23" x14ac:dyDescent="0.25">
      <c r="A60" s="3"/>
      <c r="B60" s="66" t="s">
        <v>22</v>
      </c>
      <c r="C60" s="122"/>
      <c r="D60" s="122">
        <v>4.95</v>
      </c>
      <c r="E60" s="122">
        <v>4.95</v>
      </c>
      <c r="F60" s="122"/>
      <c r="G60" s="122"/>
      <c r="H60" s="122"/>
      <c r="I60" s="122"/>
      <c r="J60" s="160"/>
      <c r="K60" s="2"/>
      <c r="L60" s="70"/>
      <c r="M60" s="157"/>
      <c r="N60" s="157"/>
      <c r="O60" s="157"/>
      <c r="P60" s="157"/>
      <c r="Q60" s="157"/>
      <c r="R60" s="157"/>
      <c r="S60" s="157"/>
      <c r="T60" s="162"/>
      <c r="U60" s="2"/>
      <c r="V60" s="2"/>
      <c r="W60" s="2"/>
    </row>
    <row r="61" spans="1:23" x14ac:dyDescent="0.25">
      <c r="A61" s="3"/>
      <c r="B61" s="66" t="s">
        <v>20</v>
      </c>
      <c r="C61" s="122"/>
      <c r="D61" s="122">
        <v>0.5</v>
      </c>
      <c r="E61" s="122">
        <v>0.5</v>
      </c>
      <c r="F61" s="122"/>
      <c r="G61" s="122"/>
      <c r="H61" s="122"/>
      <c r="I61" s="122"/>
      <c r="J61" s="12"/>
      <c r="K61" s="2"/>
      <c r="L61" s="70"/>
      <c r="M61" s="157"/>
      <c r="N61" s="157"/>
      <c r="O61" s="157"/>
      <c r="P61" s="157"/>
      <c r="Q61" s="157"/>
      <c r="R61" s="157"/>
      <c r="S61" s="157"/>
      <c r="T61" s="69"/>
      <c r="U61" s="2"/>
      <c r="V61" s="2"/>
      <c r="W61" s="2"/>
    </row>
    <row r="62" spans="1:23" ht="31.5" x14ac:dyDescent="0.25">
      <c r="A62" s="3"/>
      <c r="B62" s="163" t="s">
        <v>67</v>
      </c>
      <c r="C62" s="126">
        <v>150</v>
      </c>
      <c r="D62" s="4"/>
      <c r="E62" s="4"/>
      <c r="F62" s="46">
        <v>0.4</v>
      </c>
      <c r="G62" s="46">
        <v>0</v>
      </c>
      <c r="H62" s="46">
        <v>20.91</v>
      </c>
      <c r="I62" s="46">
        <v>85.33</v>
      </c>
      <c r="J62" s="121" t="s">
        <v>434</v>
      </c>
      <c r="K62" s="72">
        <v>190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3"/>
      <c r="B63" s="164" t="s">
        <v>68</v>
      </c>
      <c r="C63" s="122"/>
      <c r="D63" s="130">
        <v>15</v>
      </c>
      <c r="E63" s="130">
        <v>15</v>
      </c>
      <c r="F63" s="4"/>
      <c r="G63" s="4"/>
      <c r="H63" s="4"/>
      <c r="I63" s="4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3"/>
      <c r="B64" s="66" t="s">
        <v>19</v>
      </c>
      <c r="C64" s="122"/>
      <c r="D64" s="130">
        <v>15</v>
      </c>
      <c r="E64" s="130">
        <v>15</v>
      </c>
      <c r="F64" s="4"/>
      <c r="G64" s="4"/>
      <c r="H64" s="4"/>
      <c r="I64" s="4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3"/>
      <c r="B65" s="66" t="s">
        <v>27</v>
      </c>
      <c r="C65" s="122"/>
      <c r="D65" s="130">
        <f>$C$62*190/$K$62</f>
        <v>150</v>
      </c>
      <c r="E65" s="130">
        <f>$C$62*190/$K$62</f>
        <v>150</v>
      </c>
      <c r="F65" s="4"/>
      <c r="G65" s="4"/>
      <c r="H65" s="4"/>
      <c r="I65" s="4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3"/>
      <c r="B66" s="97" t="s">
        <v>28</v>
      </c>
      <c r="C66" s="129">
        <v>30</v>
      </c>
      <c r="D66" s="130">
        <f>C66</f>
        <v>30</v>
      </c>
      <c r="E66" s="130">
        <f>C66</f>
        <v>30</v>
      </c>
      <c r="F66" s="126">
        <f>C66*1.52/20</f>
        <v>2.2800000000000002</v>
      </c>
      <c r="G66" s="126">
        <f>C66*0.18/K66</f>
        <v>0.26999999999999996</v>
      </c>
      <c r="H66" s="126">
        <f>C66*9.34/K66</f>
        <v>14.01</v>
      </c>
      <c r="I66" s="126">
        <f>C66*46.2/K66</f>
        <v>69.3</v>
      </c>
      <c r="J66" s="3"/>
      <c r="K66" s="72">
        <v>20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3"/>
      <c r="B67" s="125" t="s">
        <v>84</v>
      </c>
      <c r="C67" s="129">
        <v>20</v>
      </c>
      <c r="D67" s="130">
        <f>C67</f>
        <v>20</v>
      </c>
      <c r="E67" s="130">
        <f>C67</f>
        <v>20</v>
      </c>
      <c r="F67" s="129">
        <f>C67*1.54/K67</f>
        <v>1.54</v>
      </c>
      <c r="G67" s="129">
        <f>C67*0.28/K67</f>
        <v>0.28000000000000003</v>
      </c>
      <c r="H67" s="129">
        <f>C67*7.52/K67</f>
        <v>7.5199999999999987</v>
      </c>
      <c r="I67" s="129">
        <f>C67*40.2/K67</f>
        <v>40.200000000000003</v>
      </c>
      <c r="J67" s="3"/>
      <c r="K67" s="72">
        <v>20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5" t="s">
        <v>69</v>
      </c>
      <c r="B68" s="6"/>
      <c r="C68" s="8">
        <f>SUM(C26:C67)</f>
        <v>730</v>
      </c>
      <c r="D68" s="6"/>
      <c r="E68" s="6"/>
      <c r="F68" s="165">
        <f>SUM(F26:F67)</f>
        <v>19.739999999999998</v>
      </c>
      <c r="G68" s="165">
        <f>SUM(G26:G67)</f>
        <v>21.57</v>
      </c>
      <c r="H68" s="165">
        <f>SUM(H26:H67)</f>
        <v>74.59</v>
      </c>
      <c r="I68" s="165">
        <f>SUM(I26:I67)</f>
        <v>574.96</v>
      </c>
      <c r="J68" s="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27" customHeight="1" x14ac:dyDescent="0.25">
      <c r="A69" s="166" t="s">
        <v>70</v>
      </c>
      <c r="B69" s="167" t="s">
        <v>373</v>
      </c>
      <c r="C69" s="168">
        <v>25</v>
      </c>
      <c r="D69" s="169">
        <f>C69</f>
        <v>25</v>
      </c>
      <c r="E69" s="169">
        <f>C69</f>
        <v>25</v>
      </c>
      <c r="F69" s="170">
        <f>C69*3.75/K69</f>
        <v>1.875</v>
      </c>
      <c r="G69" s="170">
        <f>C69*5.9/K69</f>
        <v>2.95</v>
      </c>
      <c r="H69" s="170">
        <f>C69*37.2/K69</f>
        <v>18.600000000000001</v>
      </c>
      <c r="I69" s="170">
        <f>C69*218/K69</f>
        <v>109</v>
      </c>
      <c r="J69" s="171"/>
      <c r="K69" s="72">
        <v>50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166"/>
      <c r="B70" s="172" t="s">
        <v>151</v>
      </c>
      <c r="C70" s="173">
        <v>180</v>
      </c>
      <c r="D70" s="174">
        <v>189</v>
      </c>
      <c r="E70" s="174">
        <f>C70*200/K70</f>
        <v>180</v>
      </c>
      <c r="F70" s="175">
        <v>5.0199999999999996</v>
      </c>
      <c r="G70" s="175">
        <v>5.74</v>
      </c>
      <c r="H70" s="175">
        <v>8.44</v>
      </c>
      <c r="I70" s="175">
        <v>105.57</v>
      </c>
      <c r="J70" s="166" t="s">
        <v>71</v>
      </c>
      <c r="K70" s="72">
        <v>200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5" t="s">
        <v>72</v>
      </c>
      <c r="B71" s="6"/>
      <c r="C71" s="8">
        <f>SUM(C69:C70)</f>
        <v>205</v>
      </c>
      <c r="D71" s="6"/>
      <c r="E71" s="6"/>
      <c r="F71" s="165">
        <f>SUM(F69:F70)</f>
        <v>6.8949999999999996</v>
      </c>
      <c r="G71" s="165">
        <f>SUM(G69:G70)</f>
        <v>8.6900000000000013</v>
      </c>
      <c r="H71" s="165">
        <f>SUM(H69:H70)</f>
        <v>27.04</v>
      </c>
      <c r="I71" s="165">
        <f>SUM(I69:I70)</f>
        <v>214.57</v>
      </c>
      <c r="J71" s="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166" t="s">
        <v>73</v>
      </c>
      <c r="B72" s="176" t="s">
        <v>74</v>
      </c>
      <c r="C72" s="168">
        <v>60</v>
      </c>
      <c r="D72" s="166"/>
      <c r="E72" s="166"/>
      <c r="F72" s="177">
        <v>8.9600000000000009</v>
      </c>
      <c r="G72" s="177">
        <v>4.63</v>
      </c>
      <c r="H72" s="177">
        <v>4.72</v>
      </c>
      <c r="I72" s="177">
        <f>C72*80.82/K72</f>
        <v>69.27428571428571</v>
      </c>
      <c r="J72" s="166" t="s">
        <v>75</v>
      </c>
      <c r="K72" s="72">
        <v>70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166"/>
      <c r="B73" s="171" t="s">
        <v>76</v>
      </c>
      <c r="C73" s="168"/>
      <c r="D73" s="178">
        <f>C72*76/K72</f>
        <v>65.142857142857139</v>
      </c>
      <c r="E73" s="178">
        <f>C72*56/K72</f>
        <v>48</v>
      </c>
      <c r="F73" s="177"/>
      <c r="G73" s="177"/>
      <c r="H73" s="177"/>
      <c r="I73" s="177"/>
      <c r="J73" s="4" t="s">
        <v>16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166"/>
      <c r="B74" s="171" t="s">
        <v>28</v>
      </c>
      <c r="C74" s="168"/>
      <c r="D74" s="178">
        <f>$C$72*10/$K$72</f>
        <v>8.5714285714285712</v>
      </c>
      <c r="E74" s="178">
        <f>$C$72*10/$K$72</f>
        <v>8.5714285714285712</v>
      </c>
      <c r="F74" s="177"/>
      <c r="G74" s="177"/>
      <c r="H74" s="177"/>
      <c r="I74" s="177"/>
      <c r="J74" s="17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166"/>
      <c r="B75" s="171" t="s">
        <v>77</v>
      </c>
      <c r="C75" s="168"/>
      <c r="D75" s="169">
        <f>C72*14/K72</f>
        <v>12</v>
      </c>
      <c r="E75" s="169">
        <f>C72*14/K72</f>
        <v>12</v>
      </c>
      <c r="F75" s="177"/>
      <c r="G75" s="177"/>
      <c r="H75" s="177"/>
      <c r="I75" s="177"/>
      <c r="J75" s="17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166"/>
      <c r="B76" s="171" t="s">
        <v>78</v>
      </c>
      <c r="C76" s="168"/>
      <c r="D76" s="169" t="s">
        <v>374</v>
      </c>
      <c r="E76" s="178">
        <f>C72*8/K72</f>
        <v>6.8571428571428568</v>
      </c>
      <c r="F76" s="177"/>
      <c r="G76" s="177"/>
      <c r="H76" s="177"/>
      <c r="I76" s="177"/>
      <c r="J76" s="17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166"/>
      <c r="B77" s="171" t="s">
        <v>20</v>
      </c>
      <c r="C77" s="168"/>
      <c r="D77" s="169">
        <v>0.4</v>
      </c>
      <c r="E77" s="169">
        <v>0.4</v>
      </c>
      <c r="F77" s="177"/>
      <c r="G77" s="177"/>
      <c r="H77" s="177"/>
      <c r="I77" s="177"/>
      <c r="J77" s="16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166"/>
      <c r="B78" s="97" t="s">
        <v>65</v>
      </c>
      <c r="C78" s="126">
        <v>120</v>
      </c>
      <c r="D78" s="83"/>
      <c r="E78" s="83"/>
      <c r="F78" s="46">
        <v>3.14</v>
      </c>
      <c r="G78" s="46">
        <v>3.87</v>
      </c>
      <c r="H78" s="46">
        <v>16.14</v>
      </c>
      <c r="I78" s="46">
        <v>104.59</v>
      </c>
      <c r="J78" s="46" t="s">
        <v>66</v>
      </c>
      <c r="K78" s="72">
        <v>150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31.5" x14ac:dyDescent="0.25">
      <c r="A79" s="166"/>
      <c r="B79" s="179" t="s">
        <v>59</v>
      </c>
      <c r="C79" s="122"/>
      <c r="D79" s="180">
        <v>157.80000000000001</v>
      </c>
      <c r="E79" s="180">
        <v>126</v>
      </c>
      <c r="F79" s="46"/>
      <c r="G79" s="46"/>
      <c r="H79" s="46"/>
      <c r="I79" s="46"/>
      <c r="J79" s="46" t="s">
        <v>16</v>
      </c>
      <c r="K79" s="7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31.5" x14ac:dyDescent="0.25">
      <c r="A80" s="166"/>
      <c r="B80" s="179" t="s">
        <v>60</v>
      </c>
      <c r="C80" s="122"/>
      <c r="D80" s="180">
        <v>5.4092307692307697</v>
      </c>
      <c r="E80" s="180">
        <v>5.4092307692307697</v>
      </c>
      <c r="F80" s="46"/>
      <c r="G80" s="46"/>
      <c r="H80" s="46"/>
      <c r="I80" s="46"/>
      <c r="J80" s="66"/>
      <c r="K80" s="7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166"/>
      <c r="B81" s="179" t="s">
        <v>61</v>
      </c>
      <c r="C81" s="122"/>
      <c r="D81" s="180">
        <v>6</v>
      </c>
      <c r="E81" s="180">
        <v>4.8</v>
      </c>
      <c r="F81" s="46"/>
      <c r="G81" s="46"/>
      <c r="H81" s="46"/>
      <c r="I81" s="46"/>
      <c r="J81" s="66"/>
      <c r="K81" s="7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166"/>
      <c r="B82" s="181" t="s">
        <v>62</v>
      </c>
      <c r="C82" s="122"/>
      <c r="D82" s="180">
        <v>8.5</v>
      </c>
      <c r="E82" s="180">
        <v>7.2</v>
      </c>
      <c r="F82" s="46"/>
      <c r="G82" s="46"/>
      <c r="H82" s="46"/>
      <c r="I82" s="46"/>
      <c r="J82" s="66"/>
      <c r="K82" s="7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31.5" x14ac:dyDescent="0.25">
      <c r="A83" s="166"/>
      <c r="B83" s="181" t="s">
        <v>36</v>
      </c>
      <c r="C83" s="122"/>
      <c r="D83" s="180">
        <v>3.8769230769230769</v>
      </c>
      <c r="E83" s="180">
        <v>3.8769230769230769</v>
      </c>
      <c r="F83" s="46"/>
      <c r="G83" s="46"/>
      <c r="H83" s="46"/>
      <c r="I83" s="46"/>
      <c r="J83" s="66"/>
      <c r="K83" s="7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166"/>
      <c r="B84" s="179" t="s">
        <v>63</v>
      </c>
      <c r="C84" s="122"/>
      <c r="D84" s="180">
        <v>1.4400000000000002</v>
      </c>
      <c r="E84" s="180">
        <v>1.4400000000000002</v>
      </c>
      <c r="F84" s="46"/>
      <c r="G84" s="46"/>
      <c r="H84" s="46"/>
      <c r="I84" s="46"/>
      <c r="J84" s="66"/>
      <c r="K84" s="7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3"/>
      <c r="B85" s="179" t="s">
        <v>64</v>
      </c>
      <c r="C85" s="122"/>
      <c r="D85" s="180">
        <v>1.62</v>
      </c>
      <c r="E85" s="180">
        <v>1.2</v>
      </c>
      <c r="F85" s="46"/>
      <c r="G85" s="46"/>
      <c r="H85" s="46"/>
      <c r="I85" s="46"/>
      <c r="J85" s="66"/>
      <c r="K85" s="7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3"/>
      <c r="B86" s="179" t="s">
        <v>39</v>
      </c>
      <c r="C86" s="122"/>
      <c r="D86" s="180">
        <v>3.6</v>
      </c>
      <c r="E86" s="180">
        <v>3.6</v>
      </c>
      <c r="F86" s="46"/>
      <c r="G86" s="46"/>
      <c r="H86" s="46"/>
      <c r="I86" s="46"/>
      <c r="J86" s="66"/>
      <c r="K86" s="7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3"/>
      <c r="B87" s="179" t="s">
        <v>20</v>
      </c>
      <c r="C87" s="122"/>
      <c r="D87" s="180">
        <v>0.55384615384615388</v>
      </c>
      <c r="E87" s="180">
        <v>0.55384615384615388</v>
      </c>
      <c r="F87" s="46"/>
      <c r="G87" s="46"/>
      <c r="H87" s="46"/>
      <c r="I87" s="46"/>
      <c r="J87" s="66"/>
      <c r="K87" s="7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31.5" x14ac:dyDescent="0.25">
      <c r="A88" s="3"/>
      <c r="B88" s="125" t="s">
        <v>412</v>
      </c>
      <c r="C88" s="126">
        <v>150</v>
      </c>
      <c r="D88" s="122"/>
      <c r="E88" s="122"/>
      <c r="F88" s="126">
        <v>0.15</v>
      </c>
      <c r="G88" s="126">
        <v>0</v>
      </c>
      <c r="H88" s="126">
        <v>4.87</v>
      </c>
      <c r="I88" s="126">
        <v>20.100000000000001</v>
      </c>
      <c r="J88" s="4" t="s">
        <v>426</v>
      </c>
      <c r="K88" s="72">
        <v>180</v>
      </c>
      <c r="L88" s="69"/>
      <c r="M88" s="94"/>
      <c r="N88" s="69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3"/>
      <c r="B89" s="66" t="s">
        <v>80</v>
      </c>
      <c r="C89" s="126"/>
      <c r="D89" s="127">
        <v>0.75</v>
      </c>
      <c r="E89" s="127">
        <v>0.75</v>
      </c>
      <c r="F89" s="126"/>
      <c r="G89" s="126"/>
      <c r="H89" s="126"/>
      <c r="I89" s="126"/>
      <c r="J89" s="46"/>
      <c r="K89" s="72"/>
      <c r="L89" s="69"/>
      <c r="M89" s="94"/>
      <c r="N89" s="69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3"/>
      <c r="B90" s="66" t="s">
        <v>27</v>
      </c>
      <c r="C90" s="126"/>
      <c r="D90" s="127">
        <v>150</v>
      </c>
      <c r="E90" s="127">
        <v>150</v>
      </c>
      <c r="F90" s="126"/>
      <c r="G90" s="126"/>
      <c r="H90" s="126"/>
      <c r="I90" s="126"/>
      <c r="J90" s="3"/>
      <c r="K90" s="72"/>
      <c r="L90" s="69"/>
      <c r="M90" s="69"/>
      <c r="N90" s="69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3"/>
      <c r="B91" s="66" t="s">
        <v>19</v>
      </c>
      <c r="C91" s="126"/>
      <c r="D91" s="122">
        <v>5.25</v>
      </c>
      <c r="E91" s="122">
        <v>5.25</v>
      </c>
      <c r="F91" s="126"/>
      <c r="G91" s="126"/>
      <c r="H91" s="126"/>
      <c r="I91" s="126"/>
      <c r="J91" s="3"/>
      <c r="K91" s="7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3"/>
      <c r="B92" s="97" t="s">
        <v>432</v>
      </c>
      <c r="C92" s="126">
        <v>95</v>
      </c>
      <c r="D92" s="122">
        <f>C92*167/K92</f>
        <v>158.65</v>
      </c>
      <c r="E92" s="122">
        <f>C92</f>
        <v>95</v>
      </c>
      <c r="F92" s="126">
        <v>1.42</v>
      </c>
      <c r="G92" s="126">
        <f>C92*0.5/K92</f>
        <v>0.47499999999999998</v>
      </c>
      <c r="H92" s="126">
        <v>19.95</v>
      </c>
      <c r="I92" s="126">
        <f>C92*95/K92</f>
        <v>90.25</v>
      </c>
      <c r="J92" s="3"/>
      <c r="K92" s="72">
        <v>100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3"/>
      <c r="B93" s="97" t="s">
        <v>28</v>
      </c>
      <c r="C93" s="129">
        <v>10</v>
      </c>
      <c r="D93" s="130">
        <f>C93</f>
        <v>10</v>
      </c>
      <c r="E93" s="130">
        <f>C93</f>
        <v>10</v>
      </c>
      <c r="F93" s="126">
        <f>C93*1.52/20</f>
        <v>0.76</v>
      </c>
      <c r="G93" s="126">
        <f>C93*0.18/K93</f>
        <v>0.09</v>
      </c>
      <c r="H93" s="126">
        <f>C93*9.34/K93</f>
        <v>4.67</v>
      </c>
      <c r="I93" s="126">
        <f>C93*46.2/K93</f>
        <v>23.1</v>
      </c>
      <c r="J93" s="3"/>
      <c r="K93" s="72">
        <v>20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3"/>
      <c r="B94" s="125" t="s">
        <v>84</v>
      </c>
      <c r="C94" s="129">
        <v>10</v>
      </c>
      <c r="D94" s="80">
        <f>C94</f>
        <v>10</v>
      </c>
      <c r="E94" s="80">
        <f>C94</f>
        <v>10</v>
      </c>
      <c r="F94" s="129">
        <f>C94*1.54/K94</f>
        <v>0.77</v>
      </c>
      <c r="G94" s="129">
        <f>C94*0.28/K94</f>
        <v>0.14000000000000001</v>
      </c>
      <c r="H94" s="129">
        <f>C94*7.52/K94</f>
        <v>3.7599999999999993</v>
      </c>
      <c r="I94" s="129">
        <f>C94*40.2/K94</f>
        <v>20.100000000000001</v>
      </c>
      <c r="J94" s="3"/>
      <c r="K94" s="72">
        <v>20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5" t="s">
        <v>81</v>
      </c>
      <c r="B95" s="5"/>
      <c r="C95" s="8">
        <f>SUM(C72:C94)</f>
        <v>445</v>
      </c>
      <c r="D95" s="5"/>
      <c r="E95" s="5"/>
      <c r="F95" s="165">
        <f>SUM(F72:F94)</f>
        <v>15.200000000000001</v>
      </c>
      <c r="G95" s="165">
        <f>SUM(G72:G94)</f>
        <v>9.2050000000000001</v>
      </c>
      <c r="H95" s="165">
        <f>SUM(H72:H94)</f>
        <v>54.11</v>
      </c>
      <c r="I95" s="165">
        <f>SUM(I72:I94)</f>
        <v>327.41428571428571</v>
      </c>
      <c r="J95" s="5"/>
      <c r="K95" s="7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13" t="s">
        <v>82</v>
      </c>
      <c r="B96" s="13"/>
      <c r="C96" s="13"/>
      <c r="D96" s="13"/>
      <c r="E96" s="13"/>
      <c r="F96" s="14">
        <f>F23+F25+F68+F71+F95</f>
        <v>55.015000000000001</v>
      </c>
      <c r="G96" s="14">
        <f>G23+G25+G68+G71+G95</f>
        <v>53.034999999999997</v>
      </c>
      <c r="H96" s="14">
        <f>H23+H25+H68+H71+H95</f>
        <v>210.37</v>
      </c>
      <c r="I96" s="14">
        <f>I23+I25+I68+I71+I95</f>
        <v>1511.6442857142856</v>
      </c>
      <c r="J96" s="1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158"/>
      <c r="B97" s="158"/>
      <c r="C97" s="158"/>
      <c r="D97" s="158"/>
      <c r="E97" s="158"/>
      <c r="F97" s="203"/>
      <c r="G97" s="203"/>
      <c r="H97" s="203"/>
      <c r="I97" s="203"/>
      <c r="J97" s="15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158"/>
      <c r="B98" s="158"/>
      <c r="C98" s="158"/>
      <c r="D98" s="158"/>
      <c r="E98" s="158"/>
      <c r="F98" s="203"/>
      <c r="G98" s="203"/>
      <c r="H98" s="203"/>
      <c r="I98" s="203"/>
      <c r="J98" s="15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6.5" thickBot="1" x14ac:dyDescent="0.3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6.5" thickBot="1" x14ac:dyDescent="0.3">
      <c r="A100" s="182" t="s">
        <v>131</v>
      </c>
      <c r="B100" s="183" t="s">
        <v>132</v>
      </c>
      <c r="C100" s="184" t="s">
        <v>133</v>
      </c>
      <c r="D100" s="185" t="s">
        <v>134</v>
      </c>
      <c r="E100" s="186"/>
      <c r="F100" s="186"/>
      <c r="G100" s="186"/>
      <c r="H100" s="18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187" t="s">
        <v>135</v>
      </c>
      <c r="B101" s="188">
        <f>I23</f>
        <v>330.3</v>
      </c>
      <c r="C101" s="189">
        <f>B101/B106*100</f>
        <v>21.850378632161195</v>
      </c>
      <c r="D101" s="190">
        <v>0.2</v>
      </c>
      <c r="E101" s="70"/>
      <c r="F101" s="70"/>
      <c r="G101" s="191"/>
      <c r="H101" s="19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187" t="s">
        <v>136</v>
      </c>
      <c r="B102" s="188">
        <f>I25</f>
        <v>64.400000000000006</v>
      </c>
      <c r="C102" s="189">
        <f>B102/B106*100</f>
        <v>4.2602615316717563</v>
      </c>
      <c r="D102" s="190">
        <v>0.05</v>
      </c>
      <c r="E102" s="70"/>
      <c r="F102" s="70"/>
      <c r="G102" s="191"/>
      <c r="H102" s="19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193" t="s">
        <v>137</v>
      </c>
      <c r="B103" s="194">
        <f>I68</f>
        <v>574.96</v>
      </c>
      <c r="C103" s="195">
        <f>B103/B106*100</f>
        <v>38.035403264751444</v>
      </c>
      <c r="D103" s="196">
        <v>0.35</v>
      </c>
      <c r="E103" s="70"/>
      <c r="F103" s="70"/>
      <c r="G103" s="191"/>
      <c r="H103" s="15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193" t="s">
        <v>138</v>
      </c>
      <c r="B104" s="194">
        <f>I71</f>
        <v>214.57</v>
      </c>
      <c r="C104" s="195">
        <f>B104/B106*100</f>
        <v>14.194476969733053</v>
      </c>
      <c r="D104" s="196">
        <v>0.15</v>
      </c>
      <c r="E104" s="70"/>
      <c r="F104" s="70"/>
      <c r="G104" s="191"/>
      <c r="H104" s="19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6.5" thickBot="1" x14ac:dyDescent="0.3">
      <c r="A105" s="193" t="s">
        <v>139</v>
      </c>
      <c r="B105" s="194">
        <f>I95</f>
        <v>327.41428571428571</v>
      </c>
      <c r="C105" s="195">
        <f>B105/B106*100</f>
        <v>21.659479601682559</v>
      </c>
      <c r="D105" s="196">
        <v>0.25</v>
      </c>
      <c r="E105" s="70"/>
      <c r="F105" s="70"/>
      <c r="G105" s="191"/>
      <c r="H105" s="19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6.5" thickBot="1" x14ac:dyDescent="0.3">
      <c r="A106" s="197" t="s">
        <v>140</v>
      </c>
      <c r="B106" s="198">
        <f>SUM(B101:B105)</f>
        <v>1511.6442857142856</v>
      </c>
      <c r="C106" s="199"/>
      <c r="D106" s="200"/>
      <c r="E106" s="70"/>
      <c r="F106" s="70"/>
      <c r="G106" s="70"/>
      <c r="H106" s="70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</sheetData>
  <mergeCells count="8">
    <mergeCell ref="A1:J1"/>
    <mergeCell ref="F4:H4"/>
    <mergeCell ref="I4:I5"/>
    <mergeCell ref="J4:J5"/>
    <mergeCell ref="A4:A5"/>
    <mergeCell ref="B4:B5"/>
    <mergeCell ref="C4:C5"/>
    <mergeCell ref="D4:E4"/>
  </mergeCells>
  <pageMargins left="0.51181102362204722" right="0" top="0.35433070866141736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9"/>
  <sheetViews>
    <sheetView view="pageBreakPreview" topLeftCell="A47" zoomScaleSheetLayoutView="100" workbookViewId="0">
      <selection activeCell="K53" sqref="K53"/>
    </sheetView>
  </sheetViews>
  <sheetFormatPr defaultRowHeight="15.75" x14ac:dyDescent="0.25"/>
  <cols>
    <col min="1" max="1" width="18.140625" style="2" customWidth="1"/>
    <col min="2" max="2" width="22.42578125" style="2" customWidth="1"/>
    <col min="3" max="9" width="9.140625" style="2"/>
    <col min="10" max="10" width="11" style="2" customWidth="1"/>
    <col min="11" max="16384" width="9.140625" style="2"/>
  </cols>
  <sheetData>
    <row r="1" spans="1:11" x14ac:dyDescent="0.25">
      <c r="A1" s="407" t="s">
        <v>0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1" x14ac:dyDescent="0.25">
      <c r="A2" s="2" t="s">
        <v>383</v>
      </c>
    </row>
    <row r="4" spans="1:11" x14ac:dyDescent="0.25">
      <c r="A4" s="411" t="s">
        <v>1</v>
      </c>
      <c r="B4" s="411" t="s">
        <v>2</v>
      </c>
      <c r="C4" s="411" t="s">
        <v>3</v>
      </c>
      <c r="D4" s="413" t="s">
        <v>12</v>
      </c>
      <c r="E4" s="419"/>
      <c r="F4" s="409" t="s">
        <v>7</v>
      </c>
      <c r="G4" s="409"/>
      <c r="H4" s="409"/>
      <c r="I4" s="411" t="s">
        <v>8</v>
      </c>
      <c r="J4" s="409" t="s">
        <v>9</v>
      </c>
    </row>
    <row r="5" spans="1:11" x14ac:dyDescent="0.25">
      <c r="A5" s="411"/>
      <c r="B5" s="411"/>
      <c r="C5" s="411"/>
      <c r="D5" s="314" t="s">
        <v>10</v>
      </c>
      <c r="E5" s="314" t="s">
        <v>11</v>
      </c>
      <c r="F5" s="4" t="s">
        <v>4</v>
      </c>
      <c r="G5" s="4" t="s">
        <v>5</v>
      </c>
      <c r="H5" s="4" t="s">
        <v>6</v>
      </c>
      <c r="I5" s="411"/>
      <c r="J5" s="409"/>
    </row>
    <row r="6" spans="1:11" ht="31.5" x14ac:dyDescent="0.25">
      <c r="A6" s="314" t="s">
        <v>340</v>
      </c>
      <c r="B6" s="3"/>
      <c r="C6" s="3"/>
      <c r="D6" s="3"/>
      <c r="E6" s="3"/>
      <c r="F6" s="3"/>
      <c r="G6" s="3"/>
      <c r="H6" s="3"/>
      <c r="I6" s="3"/>
      <c r="J6" s="3"/>
    </row>
    <row r="7" spans="1:11" ht="31.5" x14ac:dyDescent="0.25">
      <c r="A7" s="4" t="s">
        <v>14</v>
      </c>
      <c r="B7" s="15" t="s">
        <v>190</v>
      </c>
      <c r="C7" s="4">
        <v>150</v>
      </c>
      <c r="D7" s="4"/>
      <c r="E7" s="4"/>
      <c r="F7" s="170">
        <v>10.23</v>
      </c>
      <c r="G7" s="170">
        <v>12.49</v>
      </c>
      <c r="H7" s="170">
        <v>4.99</v>
      </c>
      <c r="I7" s="170">
        <f>C7*231.28/K7</f>
        <v>173.46</v>
      </c>
      <c r="J7" s="4" t="s">
        <v>195</v>
      </c>
      <c r="K7" s="2">
        <v>200</v>
      </c>
    </row>
    <row r="8" spans="1:11" x14ac:dyDescent="0.25">
      <c r="A8" s="3"/>
      <c r="B8" s="66" t="s">
        <v>106</v>
      </c>
      <c r="C8" s="3"/>
      <c r="D8" s="130" t="s">
        <v>226</v>
      </c>
      <c r="E8" s="130">
        <f>$C$7*80/$K$7</f>
        <v>60</v>
      </c>
      <c r="F8" s="80"/>
      <c r="G8" s="80"/>
      <c r="H8" s="80"/>
      <c r="I8" s="80"/>
      <c r="J8" s="4" t="s">
        <v>16</v>
      </c>
    </row>
    <row r="9" spans="1:11" x14ac:dyDescent="0.25">
      <c r="A9" s="3"/>
      <c r="B9" s="66" t="s">
        <v>144</v>
      </c>
      <c r="C9" s="3"/>
      <c r="D9" s="130">
        <f>$C$7*80/$K$7</f>
        <v>60</v>
      </c>
      <c r="E9" s="130">
        <f>$C$7*80/$K$7</f>
        <v>60</v>
      </c>
      <c r="F9" s="80"/>
      <c r="G9" s="80"/>
      <c r="H9" s="80"/>
      <c r="I9" s="80"/>
      <c r="J9" s="4"/>
    </row>
    <row r="10" spans="1:11" x14ac:dyDescent="0.25">
      <c r="A10" s="3"/>
      <c r="B10" s="66" t="s">
        <v>192</v>
      </c>
      <c r="C10" s="3"/>
      <c r="D10" s="130" t="s">
        <v>173</v>
      </c>
      <c r="E10" s="130">
        <f>C7*160/K7</f>
        <v>120</v>
      </c>
      <c r="F10" s="80"/>
      <c r="G10" s="80"/>
      <c r="H10" s="80"/>
      <c r="I10" s="80"/>
      <c r="J10" s="4"/>
    </row>
    <row r="11" spans="1:11" ht="31.5" x14ac:dyDescent="0.25">
      <c r="A11" s="3"/>
      <c r="B11" s="123" t="s">
        <v>193</v>
      </c>
      <c r="C11" s="3"/>
      <c r="D11" s="80">
        <f>C7*60/K7</f>
        <v>45</v>
      </c>
      <c r="E11" s="80">
        <f>C7*38.7/K7</f>
        <v>29.024999999999999</v>
      </c>
      <c r="F11" s="80"/>
      <c r="G11" s="80"/>
      <c r="H11" s="80"/>
      <c r="I11" s="80"/>
      <c r="J11" s="4"/>
    </row>
    <row r="12" spans="1:11" x14ac:dyDescent="0.25">
      <c r="A12" s="3"/>
      <c r="B12" s="66" t="s">
        <v>194</v>
      </c>
      <c r="C12" s="3"/>
      <c r="D12" s="80">
        <v>5</v>
      </c>
      <c r="E12" s="80">
        <v>5</v>
      </c>
      <c r="F12" s="80"/>
      <c r="G12" s="80"/>
      <c r="H12" s="80"/>
      <c r="I12" s="80"/>
      <c r="J12" s="4"/>
    </row>
    <row r="13" spans="1:11" x14ac:dyDescent="0.25">
      <c r="A13" s="3"/>
      <c r="B13" s="206" t="s">
        <v>20</v>
      </c>
      <c r="C13" s="3"/>
      <c r="D13" s="130">
        <v>0.5</v>
      </c>
      <c r="E13" s="130">
        <v>0.5</v>
      </c>
      <c r="F13" s="80"/>
      <c r="G13" s="80"/>
      <c r="H13" s="80"/>
      <c r="I13" s="80"/>
      <c r="J13" s="3"/>
    </row>
    <row r="14" spans="1:11" x14ac:dyDescent="0.25">
      <c r="A14" s="3"/>
      <c r="B14" s="213"/>
      <c r="C14" s="47"/>
      <c r="D14" s="135"/>
      <c r="E14" s="135"/>
      <c r="F14" s="232"/>
      <c r="G14" s="232"/>
      <c r="H14" s="232"/>
      <c r="I14" s="232"/>
      <c r="J14" s="3"/>
    </row>
    <row r="15" spans="1:11" x14ac:dyDescent="0.25">
      <c r="A15" s="3"/>
      <c r="B15" s="97" t="s">
        <v>230</v>
      </c>
      <c r="C15" s="126">
        <v>170</v>
      </c>
      <c r="D15" s="126"/>
      <c r="E15" s="126"/>
      <c r="F15" s="232">
        <v>3.19</v>
      </c>
      <c r="G15" s="232">
        <v>3.33</v>
      </c>
      <c r="H15" s="232">
        <v>22.04</v>
      </c>
      <c r="I15" s="232">
        <f>C15*153.92/K15</f>
        <v>130.83199999999999</v>
      </c>
      <c r="J15" s="4" t="s">
        <v>232</v>
      </c>
      <c r="K15" s="2">
        <v>200</v>
      </c>
    </row>
    <row r="16" spans="1:11" x14ac:dyDescent="0.25">
      <c r="A16" s="3"/>
      <c r="B16" s="66" t="s">
        <v>231</v>
      </c>
      <c r="C16" s="122"/>
      <c r="D16" s="122">
        <v>2.5499999999999998</v>
      </c>
      <c r="E16" s="122">
        <v>2.5499999999999998</v>
      </c>
      <c r="F16" s="129"/>
      <c r="G16" s="129"/>
      <c r="H16" s="129"/>
      <c r="I16" s="129"/>
      <c r="J16" s="4" t="s">
        <v>16</v>
      </c>
    </row>
    <row r="17" spans="1:11" x14ac:dyDescent="0.25">
      <c r="A17" s="3"/>
      <c r="B17" s="66" t="s">
        <v>26</v>
      </c>
      <c r="C17" s="122"/>
      <c r="D17" s="122">
        <f>$C$15*100/$K$15</f>
        <v>85</v>
      </c>
      <c r="E17" s="122">
        <f>$C$15*100/$K$15</f>
        <v>85</v>
      </c>
      <c r="F17" s="129"/>
      <c r="G17" s="129"/>
      <c r="H17" s="129"/>
      <c r="I17" s="129"/>
      <c r="J17" s="3"/>
    </row>
    <row r="18" spans="1:11" x14ac:dyDescent="0.25">
      <c r="A18" s="3"/>
      <c r="B18" s="66" t="s">
        <v>19</v>
      </c>
      <c r="C18" s="122"/>
      <c r="D18" s="122">
        <f>$C$15*20/$K$15</f>
        <v>17</v>
      </c>
      <c r="E18" s="122">
        <f>$C$15*20/$K$15</f>
        <v>17</v>
      </c>
      <c r="F18" s="129"/>
      <c r="G18" s="129"/>
      <c r="H18" s="129"/>
      <c r="I18" s="129"/>
      <c r="J18" s="3"/>
    </row>
    <row r="19" spans="1:11" x14ac:dyDescent="0.25">
      <c r="A19" s="3"/>
      <c r="B19" s="66" t="s">
        <v>27</v>
      </c>
      <c r="C19" s="122"/>
      <c r="D19" s="122">
        <f>$C$15*110/$K$15</f>
        <v>93.5</v>
      </c>
      <c r="E19" s="122">
        <f>$C$15*110/$K$15</f>
        <v>93.5</v>
      </c>
      <c r="F19" s="129"/>
      <c r="G19" s="129"/>
      <c r="H19" s="129"/>
      <c r="I19" s="129"/>
      <c r="J19" s="3"/>
    </row>
    <row r="20" spans="1:11" x14ac:dyDescent="0.25">
      <c r="A20" s="3"/>
      <c r="B20" s="97" t="s">
        <v>28</v>
      </c>
      <c r="C20" s="129">
        <v>20</v>
      </c>
      <c r="D20" s="130">
        <f>C20</f>
        <v>20</v>
      </c>
      <c r="E20" s="130">
        <f>C20</f>
        <v>20</v>
      </c>
      <c r="F20" s="126">
        <f>C20*1.52/20</f>
        <v>1.52</v>
      </c>
      <c r="G20" s="126">
        <f>C20*0.18/K20</f>
        <v>0.18</v>
      </c>
      <c r="H20" s="126">
        <f>C20*9.34/K20</f>
        <v>9.34</v>
      </c>
      <c r="I20" s="126">
        <f>C20*46.2/K20</f>
        <v>46.2</v>
      </c>
      <c r="J20" s="3"/>
      <c r="K20" s="72">
        <v>20</v>
      </c>
    </row>
    <row r="21" spans="1:11" x14ac:dyDescent="0.25">
      <c r="A21" s="3"/>
      <c r="B21" s="125" t="s">
        <v>84</v>
      </c>
      <c r="C21" s="129">
        <v>10</v>
      </c>
      <c r="D21" s="130">
        <f>C21</f>
        <v>10</v>
      </c>
      <c r="E21" s="130">
        <f>C21</f>
        <v>10</v>
      </c>
      <c r="F21" s="129">
        <f>C21*1.54/K21</f>
        <v>0.77</v>
      </c>
      <c r="G21" s="129">
        <f>C21*0.28/K21</f>
        <v>0.14000000000000001</v>
      </c>
      <c r="H21" s="129">
        <f>C21*7.52/K21</f>
        <v>3.7599999999999993</v>
      </c>
      <c r="I21" s="129">
        <f>C21*40.2/K21</f>
        <v>20.100000000000001</v>
      </c>
      <c r="J21" s="3"/>
      <c r="K21" s="72">
        <v>20</v>
      </c>
    </row>
    <row r="22" spans="1:11" x14ac:dyDescent="0.25">
      <c r="A22" s="5" t="s">
        <v>30</v>
      </c>
      <c r="B22" s="6"/>
      <c r="C22" s="8">
        <f>SUM(C7:C21)</f>
        <v>350</v>
      </c>
      <c r="D22" s="6"/>
      <c r="E22" s="6"/>
      <c r="F22" s="8">
        <f>SUM(F7:F21)</f>
        <v>15.709999999999999</v>
      </c>
      <c r="G22" s="8">
        <f>SUM(G7:G21)</f>
        <v>16.14</v>
      </c>
      <c r="H22" s="8">
        <f>SUM(H7:H21)</f>
        <v>40.130000000000003</v>
      </c>
      <c r="I22" s="8">
        <f>SUM(I7:I21)</f>
        <v>370.59200000000004</v>
      </c>
      <c r="J22" s="6"/>
    </row>
    <row r="23" spans="1:11" x14ac:dyDescent="0.25">
      <c r="A23" s="4" t="s">
        <v>31</v>
      </c>
      <c r="B23" s="97" t="s">
        <v>297</v>
      </c>
      <c r="C23" s="126">
        <v>100</v>
      </c>
      <c r="D23" s="122">
        <v>114</v>
      </c>
      <c r="E23" s="122">
        <f>C23</f>
        <v>100</v>
      </c>
      <c r="F23" s="126">
        <f>C23*0.44/K23</f>
        <v>0.4</v>
      </c>
      <c r="G23" s="126">
        <f>C23*0.44/K23</f>
        <v>0.4</v>
      </c>
      <c r="H23" s="126">
        <f>C23*10.78/K23</f>
        <v>9.8000000000000007</v>
      </c>
      <c r="I23" s="126">
        <v>45</v>
      </c>
      <c r="J23" s="3"/>
      <c r="K23" s="2">
        <v>110</v>
      </c>
    </row>
    <row r="24" spans="1:11" ht="31.5" x14ac:dyDescent="0.25">
      <c r="A24" s="9" t="s">
        <v>32</v>
      </c>
      <c r="B24" s="6"/>
      <c r="C24" s="6"/>
      <c r="D24" s="6"/>
      <c r="E24" s="6"/>
      <c r="F24" s="8">
        <f>SUM(F23)</f>
        <v>0.4</v>
      </c>
      <c r="G24" s="8">
        <f>SUM(G23)</f>
        <v>0.4</v>
      </c>
      <c r="H24" s="8">
        <f>SUM(H23)</f>
        <v>9.8000000000000007</v>
      </c>
      <c r="I24" s="8">
        <f>SUM(I23)</f>
        <v>45</v>
      </c>
      <c r="J24" s="6"/>
    </row>
    <row r="25" spans="1:11" x14ac:dyDescent="0.25">
      <c r="A25" s="10" t="s">
        <v>33</v>
      </c>
      <c r="B25" s="96" t="s">
        <v>198</v>
      </c>
      <c r="C25" s="288">
        <v>40</v>
      </c>
      <c r="D25" s="65"/>
      <c r="E25" s="65"/>
      <c r="F25" s="288">
        <f>C25*0.95/K25</f>
        <v>0.76</v>
      </c>
      <c r="G25" s="126">
        <f>C25*3.8/K25</f>
        <v>3.04</v>
      </c>
      <c r="H25" s="126">
        <f>C25*5.65/K25</f>
        <v>4.5199999999999996</v>
      </c>
      <c r="I25" s="126">
        <f>C25*61.05/K25</f>
        <v>48.84</v>
      </c>
      <c r="J25" s="46" t="s">
        <v>41</v>
      </c>
      <c r="K25" s="2">
        <v>50</v>
      </c>
    </row>
    <row r="26" spans="1:11" x14ac:dyDescent="0.25">
      <c r="A26" s="3"/>
      <c r="B26" s="290" t="s">
        <v>48</v>
      </c>
      <c r="C26" s="126"/>
      <c r="D26" s="399">
        <v>37.67</v>
      </c>
      <c r="E26" s="399">
        <f>C25*37.7/K25</f>
        <v>30.16</v>
      </c>
      <c r="F26" s="46"/>
      <c r="G26" s="46"/>
      <c r="H26" s="46"/>
      <c r="I26" s="46"/>
      <c r="J26" s="46" t="s">
        <v>42</v>
      </c>
    </row>
    <row r="27" spans="1:11" x14ac:dyDescent="0.25">
      <c r="A27" s="3"/>
      <c r="B27" s="290" t="s">
        <v>35</v>
      </c>
      <c r="C27" s="126"/>
      <c r="D27" s="399">
        <f>C25*10.4/K25</f>
        <v>8.32</v>
      </c>
      <c r="E27" s="399">
        <f>C25*8.75/K25</f>
        <v>7</v>
      </c>
      <c r="F27" s="46"/>
      <c r="G27" s="46"/>
      <c r="H27" s="46"/>
      <c r="I27" s="46"/>
      <c r="J27" s="66"/>
    </row>
    <row r="28" spans="1:11" ht="31.5" x14ac:dyDescent="0.25">
      <c r="A28" s="3"/>
      <c r="B28" s="179" t="s">
        <v>36</v>
      </c>
      <c r="C28" s="126"/>
      <c r="D28" s="399">
        <f>$C$25*5.5/$K$25</f>
        <v>4.4000000000000004</v>
      </c>
      <c r="E28" s="399">
        <f>$C$25*5.5/$K$25</f>
        <v>4.4000000000000004</v>
      </c>
      <c r="F28" s="46"/>
      <c r="G28" s="46"/>
      <c r="H28" s="46"/>
      <c r="I28" s="46"/>
      <c r="J28" s="66"/>
    </row>
    <row r="29" spans="1:11" ht="18" customHeight="1" x14ac:dyDescent="0.25">
      <c r="A29" s="3"/>
      <c r="B29" s="291" t="s">
        <v>37</v>
      </c>
      <c r="C29" s="126"/>
      <c r="D29" s="399">
        <f>$C$25*3.75/$K$25</f>
        <v>3</v>
      </c>
      <c r="E29" s="399">
        <f>$C$25*3.75/$K$25</f>
        <v>3</v>
      </c>
      <c r="F29" s="46"/>
      <c r="G29" s="46"/>
      <c r="H29" s="46"/>
      <c r="I29" s="46"/>
      <c r="J29" s="66"/>
    </row>
    <row r="30" spans="1:11" ht="15.75" customHeight="1" x14ac:dyDescent="0.25">
      <c r="A30" s="3"/>
      <c r="B30" s="291" t="s">
        <v>38</v>
      </c>
      <c r="C30" s="126"/>
      <c r="D30" s="399">
        <v>1.7999999999999999E-2</v>
      </c>
      <c r="E30" s="399">
        <v>1.7999999999999999E-2</v>
      </c>
      <c r="F30" s="46"/>
      <c r="G30" s="46"/>
      <c r="H30" s="46"/>
      <c r="I30" s="46"/>
      <c r="J30" s="66"/>
    </row>
    <row r="31" spans="1:11" x14ac:dyDescent="0.25">
      <c r="A31" s="3"/>
      <c r="B31" s="290" t="s">
        <v>39</v>
      </c>
      <c r="C31" s="126"/>
      <c r="D31" s="399">
        <f>$C$25*0.6/$K$25</f>
        <v>0.48</v>
      </c>
      <c r="E31" s="399">
        <f>$C$25*0.6/$K$25</f>
        <v>0.48</v>
      </c>
      <c r="F31" s="46"/>
      <c r="G31" s="46"/>
      <c r="H31" s="46"/>
      <c r="I31" s="46"/>
      <c r="J31" s="66"/>
    </row>
    <row r="32" spans="1:11" x14ac:dyDescent="0.25">
      <c r="A32" s="3"/>
      <c r="B32" s="290" t="s">
        <v>20</v>
      </c>
      <c r="C32" s="126"/>
      <c r="D32" s="399">
        <v>0.4</v>
      </c>
      <c r="E32" s="399">
        <v>0.4</v>
      </c>
      <c r="F32" s="46"/>
      <c r="G32" s="46"/>
      <c r="H32" s="46"/>
      <c r="I32" s="46"/>
      <c r="J32" s="66"/>
    </row>
    <row r="33" spans="1:11" ht="30" customHeight="1" x14ac:dyDescent="0.25">
      <c r="A33" s="3"/>
      <c r="B33" s="235" t="s">
        <v>342</v>
      </c>
      <c r="C33" s="236">
        <v>165</v>
      </c>
      <c r="D33" s="318"/>
      <c r="E33" s="318"/>
      <c r="F33" s="238">
        <v>4.12</v>
      </c>
      <c r="G33" s="238">
        <v>6.71</v>
      </c>
      <c r="H33" s="238">
        <v>10.01</v>
      </c>
      <c r="I33" s="238">
        <v>116.68</v>
      </c>
      <c r="J33" s="4" t="s">
        <v>343</v>
      </c>
    </row>
    <row r="34" spans="1:11" ht="17.25" customHeight="1" x14ac:dyDescent="0.25">
      <c r="A34" s="3"/>
      <c r="B34" s="239" t="s">
        <v>156</v>
      </c>
      <c r="C34" s="240"/>
      <c r="D34" s="76">
        <v>16.600000000000001</v>
      </c>
      <c r="E34" s="76">
        <v>16</v>
      </c>
      <c r="F34" s="242"/>
      <c r="G34" s="242"/>
      <c r="H34" s="242"/>
      <c r="I34" s="242"/>
      <c r="J34" s="4" t="s">
        <v>16</v>
      </c>
    </row>
    <row r="35" spans="1:11" x14ac:dyDescent="0.25">
      <c r="A35" s="3"/>
      <c r="B35" s="239" t="s">
        <v>27</v>
      </c>
      <c r="C35" s="240"/>
      <c r="D35" s="76">
        <v>179</v>
      </c>
      <c r="E35" s="76">
        <v>179</v>
      </c>
      <c r="F35" s="242"/>
      <c r="G35" s="242"/>
      <c r="H35" s="242"/>
      <c r="I35" s="242"/>
      <c r="J35" s="3"/>
    </row>
    <row r="36" spans="1:11" ht="31.5" x14ac:dyDescent="0.25">
      <c r="A36" s="3"/>
      <c r="B36" s="242" t="s">
        <v>44</v>
      </c>
      <c r="C36" s="236"/>
      <c r="D36" s="76"/>
      <c r="E36" s="76">
        <v>10</v>
      </c>
      <c r="F36" s="242"/>
      <c r="G36" s="242"/>
      <c r="H36" s="242"/>
      <c r="I36" s="242"/>
      <c r="J36" s="3"/>
      <c r="K36" s="2">
        <v>12</v>
      </c>
    </row>
    <row r="37" spans="1:11" ht="31.5" x14ac:dyDescent="0.25">
      <c r="A37" s="3"/>
      <c r="B37" s="242" t="s">
        <v>45</v>
      </c>
      <c r="C37" s="236"/>
      <c r="D37" s="236"/>
      <c r="E37" s="240">
        <v>128</v>
      </c>
      <c r="F37" s="242"/>
      <c r="G37" s="242"/>
      <c r="H37" s="242"/>
      <c r="I37" s="242"/>
      <c r="J37" s="3"/>
    </row>
    <row r="38" spans="1:11" x14ac:dyDescent="0.25">
      <c r="A38" s="3"/>
      <c r="B38" s="245" t="s">
        <v>47</v>
      </c>
      <c r="C38" s="236">
        <v>150</v>
      </c>
      <c r="D38" s="400">
        <f>C38*24.5454/K38</f>
        <v>20.229725274725276</v>
      </c>
      <c r="E38" s="400">
        <f>C38*18.1818181818182/K38</f>
        <v>14.985014985015001</v>
      </c>
      <c r="F38" s="240"/>
      <c r="G38" s="240"/>
      <c r="H38" s="240"/>
      <c r="I38" s="240"/>
      <c r="J38" s="3"/>
      <c r="K38" s="2">
        <v>182</v>
      </c>
    </row>
    <row r="39" spans="1:11" x14ac:dyDescent="0.25">
      <c r="A39" s="3"/>
      <c r="B39" s="245" t="s">
        <v>48</v>
      </c>
      <c r="C39" s="236"/>
      <c r="D39" s="400">
        <f>C38*9.09090909090909/K38</f>
        <v>7.4925074925074915</v>
      </c>
      <c r="E39" s="400">
        <f>C38*7.27272727272727/K38</f>
        <v>5.9940059940059918</v>
      </c>
      <c r="F39" s="240"/>
      <c r="G39" s="240"/>
      <c r="H39" s="240"/>
      <c r="I39" s="240"/>
      <c r="J39" s="3"/>
    </row>
    <row r="40" spans="1:11" x14ac:dyDescent="0.25">
      <c r="A40" s="3"/>
      <c r="B40" s="245" t="s">
        <v>49</v>
      </c>
      <c r="C40" s="236"/>
      <c r="D40" s="400">
        <f>C38*9.09090909090909/K38</f>
        <v>7.4925074925074915</v>
      </c>
      <c r="E40" s="400">
        <f>C38*7.27272727272727/K38</f>
        <v>5.9940059940059918</v>
      </c>
      <c r="F40" s="240"/>
      <c r="G40" s="240"/>
      <c r="H40" s="240"/>
      <c r="I40" s="240"/>
      <c r="J40" s="3"/>
    </row>
    <row r="41" spans="1:11" x14ac:dyDescent="0.25">
      <c r="A41" s="3"/>
      <c r="B41" s="245" t="s">
        <v>157</v>
      </c>
      <c r="C41" s="236"/>
      <c r="D41" s="400">
        <f>C38*27.2727272727273/K38</f>
        <v>22.477522477522498</v>
      </c>
      <c r="E41" s="400">
        <f>C38*21.8181818181818/K38</f>
        <v>17.982017982017965</v>
      </c>
      <c r="F41" s="240"/>
      <c r="G41" s="240"/>
      <c r="H41" s="240"/>
      <c r="I41" s="240"/>
      <c r="J41" s="3"/>
    </row>
    <row r="42" spans="1:11" x14ac:dyDescent="0.25">
      <c r="A42" s="3"/>
      <c r="B42" s="245" t="s">
        <v>37</v>
      </c>
      <c r="C42" s="236"/>
      <c r="D42" s="400">
        <f>$C$38*3.6/$K$38</f>
        <v>2.9670329670329672</v>
      </c>
      <c r="E42" s="400">
        <f>$C$38*3.6/$K$38</f>
        <v>2.9670329670329672</v>
      </c>
      <c r="F42" s="240"/>
      <c r="G42" s="240"/>
      <c r="H42" s="240"/>
      <c r="I42" s="240"/>
      <c r="J42" s="3"/>
    </row>
    <row r="43" spans="1:11" x14ac:dyDescent="0.25">
      <c r="A43" s="3"/>
      <c r="B43" s="245" t="s">
        <v>341</v>
      </c>
      <c r="C43" s="236"/>
      <c r="D43" s="400">
        <f>$C$38*7.27272727272727/$K$38</f>
        <v>5.9940059940059918</v>
      </c>
      <c r="E43" s="400">
        <f>$C$38*7.27272727272727/$K$38</f>
        <v>5.9940059940059918</v>
      </c>
      <c r="F43" s="240"/>
      <c r="G43" s="240"/>
      <c r="H43" s="240"/>
      <c r="I43" s="240"/>
      <c r="J43" s="3"/>
    </row>
    <row r="44" spans="1:11" x14ac:dyDescent="0.25">
      <c r="A44" s="3"/>
      <c r="B44" s="245" t="s">
        <v>160</v>
      </c>
      <c r="C44" s="236"/>
      <c r="D44" s="400">
        <v>5</v>
      </c>
      <c r="E44" s="400">
        <v>5</v>
      </c>
      <c r="F44" s="240"/>
      <c r="G44" s="240"/>
      <c r="H44" s="240"/>
      <c r="I44" s="240"/>
      <c r="J44" s="3"/>
    </row>
    <row r="45" spans="1:11" x14ac:dyDescent="0.25">
      <c r="A45" s="3"/>
      <c r="B45" s="246" t="s">
        <v>20</v>
      </c>
      <c r="C45" s="236"/>
      <c r="D45" s="400">
        <v>0.5</v>
      </c>
      <c r="E45" s="400">
        <v>0.5</v>
      </c>
      <c r="F45" s="240"/>
      <c r="G45" s="240"/>
      <c r="H45" s="240"/>
      <c r="I45" s="240"/>
      <c r="J45" s="3"/>
    </row>
    <row r="46" spans="1:11" x14ac:dyDescent="0.25">
      <c r="A46" s="3"/>
      <c r="B46" s="246" t="s">
        <v>51</v>
      </c>
      <c r="C46" s="240"/>
      <c r="D46" s="400">
        <v>1.1100000000000001</v>
      </c>
      <c r="E46" s="400">
        <v>0.82</v>
      </c>
      <c r="F46" s="240"/>
      <c r="G46" s="240"/>
      <c r="H46" s="240"/>
      <c r="I46" s="240"/>
      <c r="J46" s="3"/>
    </row>
    <row r="47" spans="1:11" ht="31.5" x14ac:dyDescent="0.25">
      <c r="A47" s="3"/>
      <c r="B47" s="62" t="s">
        <v>344</v>
      </c>
      <c r="C47" s="149">
        <v>60</v>
      </c>
      <c r="D47" s="150"/>
      <c r="E47" s="150"/>
      <c r="F47" s="46">
        <f>C47*10.36/K47</f>
        <v>8.879999999999999</v>
      </c>
      <c r="G47" s="46">
        <v>1.65</v>
      </c>
      <c r="H47" s="151">
        <f>C47*6.79/K47</f>
        <v>5.8199999999999994</v>
      </c>
      <c r="I47" s="46">
        <v>73.650000000000006</v>
      </c>
      <c r="J47" s="4" t="s">
        <v>345</v>
      </c>
      <c r="K47" s="2">
        <v>70</v>
      </c>
    </row>
    <row r="48" spans="1:11" x14ac:dyDescent="0.25">
      <c r="A48" s="3"/>
      <c r="B48" s="216" t="s">
        <v>346</v>
      </c>
      <c r="C48" s="149"/>
      <c r="D48" s="337">
        <f>C47*92/K47</f>
        <v>78.857142857142861</v>
      </c>
      <c r="E48" s="337">
        <f>C47*56/K47</f>
        <v>48</v>
      </c>
      <c r="F48" s="46"/>
      <c r="G48" s="46"/>
      <c r="H48" s="46"/>
      <c r="I48" s="46"/>
      <c r="J48" s="4" t="s">
        <v>16</v>
      </c>
    </row>
    <row r="49" spans="1:22" x14ac:dyDescent="0.25">
      <c r="A49" s="3"/>
      <c r="B49" s="216" t="s">
        <v>28</v>
      </c>
      <c r="C49" s="149"/>
      <c r="D49" s="337">
        <f>$C$47*13/$K$47</f>
        <v>11.142857142857142</v>
      </c>
      <c r="E49" s="337">
        <f>$C$47*13/$K$47</f>
        <v>11.142857142857142</v>
      </c>
      <c r="F49" s="46"/>
      <c r="G49" s="46"/>
      <c r="H49" s="46"/>
      <c r="I49" s="46"/>
      <c r="J49" s="3"/>
    </row>
    <row r="50" spans="1:22" x14ac:dyDescent="0.25">
      <c r="A50" s="3"/>
      <c r="B50" s="216" t="s">
        <v>302</v>
      </c>
      <c r="C50" s="149"/>
      <c r="D50" s="337">
        <f>$C$47*10/$K$47</f>
        <v>8.5714285714285712</v>
      </c>
      <c r="E50" s="337">
        <f>$C$47*10/$K$47</f>
        <v>8.5714285714285712</v>
      </c>
      <c r="F50" s="46"/>
      <c r="G50" s="46"/>
      <c r="H50" s="46"/>
      <c r="I50" s="46"/>
      <c r="J50" s="3"/>
    </row>
    <row r="51" spans="1:22" x14ac:dyDescent="0.25">
      <c r="A51" s="3"/>
      <c r="B51" s="216" t="s">
        <v>78</v>
      </c>
      <c r="C51" s="149"/>
      <c r="D51" s="153" t="s">
        <v>381</v>
      </c>
      <c r="E51" s="337">
        <f>C47*4/K47</f>
        <v>3.4285714285714284</v>
      </c>
      <c r="F51" s="46"/>
      <c r="G51" s="46"/>
      <c r="H51" s="46"/>
      <c r="I51" s="46"/>
      <c r="J51" s="3"/>
    </row>
    <row r="52" spans="1:22" x14ac:dyDescent="0.25">
      <c r="A52" s="3"/>
      <c r="B52" s="216" t="s">
        <v>194</v>
      </c>
      <c r="C52" s="149"/>
      <c r="D52" s="153">
        <f>$C$47*1.4/$K$47</f>
        <v>1.2</v>
      </c>
      <c r="E52" s="153">
        <f>$C$47*1.4/$K$47</f>
        <v>1.2</v>
      </c>
      <c r="F52" s="46"/>
      <c r="G52" s="46"/>
      <c r="H52" s="46"/>
      <c r="I52" s="46"/>
      <c r="J52" s="3"/>
    </row>
    <row r="53" spans="1:22" x14ac:dyDescent="0.25">
      <c r="A53" s="3"/>
      <c r="B53" s="216" t="s">
        <v>20</v>
      </c>
      <c r="C53" s="149"/>
      <c r="D53" s="153">
        <v>0.3</v>
      </c>
      <c r="E53" s="153">
        <v>0.3</v>
      </c>
      <c r="F53" s="46"/>
      <c r="G53" s="46"/>
      <c r="H53" s="46"/>
      <c r="I53" s="46"/>
      <c r="J53" s="3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1:22" ht="31.5" x14ac:dyDescent="0.25">
      <c r="A54" s="3"/>
      <c r="B54" s="45" t="s">
        <v>222</v>
      </c>
      <c r="C54" s="126">
        <v>110</v>
      </c>
      <c r="D54" s="122"/>
      <c r="E54" s="122"/>
      <c r="F54" s="126">
        <v>2.29</v>
      </c>
      <c r="G54" s="126">
        <v>5.15</v>
      </c>
      <c r="H54" s="126">
        <v>19.95</v>
      </c>
      <c r="I54" s="126">
        <v>133.80000000000001</v>
      </c>
      <c r="J54" s="166" t="s">
        <v>223</v>
      </c>
      <c r="M54" s="101"/>
      <c r="N54" s="102"/>
      <c r="O54" s="102"/>
      <c r="P54" s="102"/>
      <c r="Q54" s="103"/>
      <c r="R54" s="103"/>
      <c r="S54" s="103"/>
      <c r="T54" s="103"/>
      <c r="U54" s="158"/>
      <c r="V54" s="69"/>
    </row>
    <row r="55" spans="1:22" x14ac:dyDescent="0.25">
      <c r="A55" s="3"/>
      <c r="B55" s="66" t="s">
        <v>47</v>
      </c>
      <c r="C55" s="122"/>
      <c r="D55" s="122">
        <v>145.19999999999999</v>
      </c>
      <c r="E55" s="122">
        <v>108.9</v>
      </c>
      <c r="F55" s="122"/>
      <c r="G55" s="122"/>
      <c r="H55" s="122"/>
      <c r="I55" s="122"/>
      <c r="J55" s="4" t="s">
        <v>16</v>
      </c>
      <c r="M55" s="325"/>
      <c r="N55" s="215"/>
      <c r="O55" s="215"/>
      <c r="P55" s="215"/>
      <c r="Q55" s="69"/>
      <c r="R55" s="69"/>
      <c r="S55" s="69"/>
      <c r="T55" s="69"/>
      <c r="U55" s="94"/>
      <c r="V55" s="69"/>
    </row>
    <row r="56" spans="1:22" x14ac:dyDescent="0.25">
      <c r="A56" s="3"/>
      <c r="B56" s="66" t="s">
        <v>105</v>
      </c>
      <c r="C56" s="122"/>
      <c r="D56" s="122">
        <v>4.95</v>
      </c>
      <c r="E56" s="122">
        <v>4.95</v>
      </c>
      <c r="F56" s="122"/>
      <c r="G56" s="122"/>
      <c r="H56" s="122"/>
      <c r="I56" s="122"/>
      <c r="J56" s="171"/>
      <c r="M56" s="325"/>
      <c r="N56" s="215"/>
      <c r="O56" s="215"/>
      <c r="P56" s="215"/>
      <c r="Q56" s="69"/>
      <c r="R56" s="69"/>
      <c r="S56" s="69"/>
      <c r="T56" s="69"/>
      <c r="U56" s="162"/>
      <c r="V56" s="69"/>
    </row>
    <row r="57" spans="1:22" x14ac:dyDescent="0.25">
      <c r="A57" s="3"/>
      <c r="B57" s="66" t="s">
        <v>20</v>
      </c>
      <c r="C57" s="122"/>
      <c r="D57" s="122">
        <v>0.3</v>
      </c>
      <c r="E57" s="122">
        <v>0.3</v>
      </c>
      <c r="F57" s="122"/>
      <c r="G57" s="122"/>
      <c r="H57" s="122"/>
      <c r="I57" s="122"/>
      <c r="J57" s="3"/>
      <c r="M57" s="325"/>
      <c r="N57" s="215"/>
      <c r="O57" s="215"/>
      <c r="P57" s="215"/>
      <c r="Q57" s="69"/>
      <c r="R57" s="69"/>
      <c r="S57" s="69"/>
      <c r="T57" s="69"/>
      <c r="U57" s="162"/>
      <c r="V57" s="69"/>
    </row>
    <row r="58" spans="1:22" ht="31.5" x14ac:dyDescent="0.25">
      <c r="A58" s="3"/>
      <c r="B58" s="250" t="s">
        <v>452</v>
      </c>
      <c r="C58" s="175">
        <v>150</v>
      </c>
      <c r="D58" s="126"/>
      <c r="E58" s="126"/>
      <c r="F58" s="126">
        <v>0.4</v>
      </c>
      <c r="G58" s="126">
        <v>0</v>
      </c>
      <c r="H58" s="126">
        <v>20.91</v>
      </c>
      <c r="I58" s="126">
        <v>85.33</v>
      </c>
      <c r="J58" s="401" t="s">
        <v>433</v>
      </c>
      <c r="M58" s="325"/>
      <c r="N58" s="215"/>
      <c r="O58" s="215"/>
      <c r="P58" s="215"/>
      <c r="Q58" s="69"/>
      <c r="R58" s="69"/>
      <c r="S58" s="69"/>
      <c r="T58" s="69"/>
      <c r="U58" s="162"/>
      <c r="V58" s="69"/>
    </row>
    <row r="59" spans="1:22" x14ac:dyDescent="0.25">
      <c r="A59" s="3"/>
      <c r="B59" s="66" t="s">
        <v>453</v>
      </c>
      <c r="C59" s="66"/>
      <c r="D59" s="127">
        <v>15</v>
      </c>
      <c r="E59" s="127">
        <v>15</v>
      </c>
      <c r="F59" s="46"/>
      <c r="G59" s="46"/>
      <c r="H59" s="46"/>
      <c r="I59" s="46"/>
      <c r="J59" s="46"/>
    </row>
    <row r="60" spans="1:22" x14ac:dyDescent="0.25">
      <c r="A60" s="3"/>
      <c r="B60" s="66" t="s">
        <v>19</v>
      </c>
      <c r="C60" s="122"/>
      <c r="D60" s="127">
        <v>15</v>
      </c>
      <c r="E60" s="127">
        <v>15</v>
      </c>
      <c r="F60" s="46"/>
      <c r="G60" s="46"/>
      <c r="H60" s="46"/>
      <c r="I60" s="46"/>
      <c r="J60" s="66"/>
    </row>
    <row r="61" spans="1:22" x14ac:dyDescent="0.25">
      <c r="A61" s="3"/>
      <c r="B61" s="66" t="s">
        <v>27</v>
      </c>
      <c r="C61" s="122"/>
      <c r="D61" s="127">
        <v>150</v>
      </c>
      <c r="E61" s="127">
        <v>150</v>
      </c>
      <c r="F61" s="46"/>
      <c r="G61" s="46"/>
      <c r="H61" s="46"/>
      <c r="I61" s="46"/>
      <c r="J61" s="66"/>
    </row>
    <row r="62" spans="1:22" x14ac:dyDescent="0.25">
      <c r="A62" s="3"/>
      <c r="B62" s="66" t="s">
        <v>38</v>
      </c>
      <c r="C62" s="122"/>
      <c r="D62" s="127">
        <v>0.15</v>
      </c>
      <c r="E62" s="127">
        <v>0.15</v>
      </c>
      <c r="F62" s="46"/>
      <c r="G62" s="46"/>
      <c r="H62" s="46"/>
      <c r="I62" s="46"/>
      <c r="J62" s="66"/>
    </row>
    <row r="63" spans="1:22" x14ac:dyDescent="0.25">
      <c r="A63" s="3"/>
      <c r="B63" s="97" t="s">
        <v>28</v>
      </c>
      <c r="C63" s="129">
        <v>15</v>
      </c>
      <c r="D63" s="130">
        <f>C63</f>
        <v>15</v>
      </c>
      <c r="E63" s="130">
        <f>C63</f>
        <v>15</v>
      </c>
      <c r="F63" s="126">
        <f>C63*1.52/20</f>
        <v>1.1400000000000001</v>
      </c>
      <c r="G63" s="126">
        <f>C63*0.18/K63</f>
        <v>0.13499999999999998</v>
      </c>
      <c r="H63" s="126">
        <f>C63*9.34/K63</f>
        <v>7.0049999999999999</v>
      </c>
      <c r="I63" s="126">
        <f>C63*46.2/K63</f>
        <v>34.65</v>
      </c>
      <c r="J63" s="3"/>
      <c r="K63" s="72">
        <v>20</v>
      </c>
    </row>
    <row r="64" spans="1:22" x14ac:dyDescent="0.25">
      <c r="A64" s="3"/>
      <c r="B64" s="125" t="s">
        <v>84</v>
      </c>
      <c r="C64" s="129">
        <v>10</v>
      </c>
      <c r="D64" s="130">
        <f>C64</f>
        <v>10</v>
      </c>
      <c r="E64" s="130">
        <f>C64</f>
        <v>10</v>
      </c>
      <c r="F64" s="129">
        <f>C64*1.54/K64</f>
        <v>0.77</v>
      </c>
      <c r="G64" s="129">
        <f>C64*0.28/K64</f>
        <v>0.14000000000000001</v>
      </c>
      <c r="H64" s="129">
        <f>C64*7.52/K64</f>
        <v>3.7599999999999993</v>
      </c>
      <c r="I64" s="129">
        <f>C64*40.2/K64</f>
        <v>20.100000000000001</v>
      </c>
      <c r="J64" s="3"/>
      <c r="K64" s="72">
        <v>20</v>
      </c>
    </row>
    <row r="65" spans="1:12" x14ac:dyDescent="0.25">
      <c r="A65" s="5" t="s">
        <v>69</v>
      </c>
      <c r="B65" s="6"/>
      <c r="C65" s="8">
        <f>SUM(C25:C64)</f>
        <v>700</v>
      </c>
      <c r="D65" s="6"/>
      <c r="E65" s="6"/>
      <c r="F65" s="225">
        <f>SUM(F25:F64)</f>
        <v>18.359999999999996</v>
      </c>
      <c r="G65" s="225">
        <f>SUM(G25:G64)</f>
        <v>16.825000000000003</v>
      </c>
      <c r="H65" s="225">
        <f>SUM(H25:H64)</f>
        <v>71.974999999999994</v>
      </c>
      <c r="I65" s="225">
        <f>SUM(I25:I64)</f>
        <v>513.04999999999995</v>
      </c>
      <c r="J65" s="6"/>
    </row>
    <row r="66" spans="1:12" ht="31.5" x14ac:dyDescent="0.25">
      <c r="A66" s="166" t="s">
        <v>70</v>
      </c>
      <c r="B66" s="15" t="s">
        <v>431</v>
      </c>
      <c r="C66" s="4">
        <v>30</v>
      </c>
      <c r="D66" s="232">
        <v>30</v>
      </c>
      <c r="E66" s="232">
        <v>30</v>
      </c>
      <c r="F66" s="105">
        <v>0.87</v>
      </c>
      <c r="G66" s="105">
        <v>0.98</v>
      </c>
      <c r="H66" s="105">
        <v>23.23</v>
      </c>
      <c r="I66" s="105">
        <v>106.22</v>
      </c>
      <c r="J66" s="4"/>
      <c r="K66" s="2">
        <v>50</v>
      </c>
    </row>
    <row r="67" spans="1:12" x14ac:dyDescent="0.25">
      <c r="A67" s="166"/>
      <c r="B67" s="332" t="s">
        <v>151</v>
      </c>
      <c r="C67" s="173">
        <v>180</v>
      </c>
      <c r="D67" s="174"/>
      <c r="E67" s="174"/>
      <c r="F67" s="126">
        <v>5.0199999999999996</v>
      </c>
      <c r="G67" s="126">
        <v>5.74</v>
      </c>
      <c r="H67" s="126">
        <v>8.44</v>
      </c>
      <c r="I67" s="126">
        <v>105.57</v>
      </c>
      <c r="J67" s="166" t="s">
        <v>276</v>
      </c>
    </row>
    <row r="68" spans="1:12" x14ac:dyDescent="0.25">
      <c r="A68" s="166"/>
      <c r="B68" s="402" t="s">
        <v>26</v>
      </c>
      <c r="C68" s="173"/>
      <c r="D68" s="174">
        <v>189</v>
      </c>
      <c r="E68" s="174">
        <v>180</v>
      </c>
      <c r="F68" s="126"/>
      <c r="G68" s="126"/>
      <c r="H68" s="126"/>
      <c r="I68" s="126"/>
      <c r="J68" s="166" t="s">
        <v>16</v>
      </c>
    </row>
    <row r="69" spans="1:12" x14ac:dyDescent="0.25">
      <c r="A69" s="5" t="s">
        <v>72</v>
      </c>
      <c r="B69" s="6"/>
      <c r="C69" s="8">
        <f>SUM(C66:C67)</f>
        <v>210</v>
      </c>
      <c r="D69" s="6"/>
      <c r="E69" s="6"/>
      <c r="F69" s="225">
        <f>SUM(F66:F67)</f>
        <v>5.89</v>
      </c>
      <c r="G69" s="225">
        <f>SUM(G66:G67)</f>
        <v>6.7200000000000006</v>
      </c>
      <c r="H69" s="225">
        <f>SUM(H66:H67)</f>
        <v>31.67</v>
      </c>
      <c r="I69" s="225">
        <f>SUM(I66:I67)</f>
        <v>211.79</v>
      </c>
      <c r="J69" s="6"/>
    </row>
    <row r="70" spans="1:12" ht="31.5" x14ac:dyDescent="0.25">
      <c r="A70" s="166" t="s">
        <v>73</v>
      </c>
      <c r="B70" s="45" t="s">
        <v>177</v>
      </c>
      <c r="C70" s="149">
        <v>60</v>
      </c>
      <c r="D70" s="223"/>
      <c r="E70" s="223"/>
      <c r="F70" s="126">
        <v>11.01</v>
      </c>
      <c r="G70" s="126">
        <v>12.51</v>
      </c>
      <c r="H70" s="126">
        <v>7.48</v>
      </c>
      <c r="I70" s="126">
        <v>186.7</v>
      </c>
      <c r="J70" s="166" t="s">
        <v>182</v>
      </c>
      <c r="K70" s="2">
        <v>70</v>
      </c>
    </row>
    <row r="71" spans="1:12" x14ac:dyDescent="0.25">
      <c r="A71" s="166"/>
      <c r="B71" s="206" t="s">
        <v>156</v>
      </c>
      <c r="C71" s="154"/>
      <c r="D71" s="224">
        <f>C70*53.8/K70</f>
        <v>46.114285714285714</v>
      </c>
      <c r="E71" s="224">
        <f>C70*49/K70</f>
        <v>42</v>
      </c>
      <c r="F71" s="126"/>
      <c r="G71" s="126"/>
      <c r="H71" s="126"/>
      <c r="I71" s="126"/>
      <c r="J71" s="4" t="s">
        <v>16</v>
      </c>
    </row>
    <row r="72" spans="1:12" x14ac:dyDescent="0.25">
      <c r="A72" s="166"/>
      <c r="B72" s="134" t="s">
        <v>178</v>
      </c>
      <c r="C72" s="154"/>
      <c r="D72" s="224">
        <f>$C$70*9.4/$K$70</f>
        <v>8.0571428571428569</v>
      </c>
      <c r="E72" s="224">
        <f>$C$70*9.4/$K$70</f>
        <v>8.0571428571428569</v>
      </c>
      <c r="F72" s="126"/>
      <c r="G72" s="126"/>
      <c r="H72" s="126"/>
      <c r="I72" s="126"/>
      <c r="J72" s="166"/>
    </row>
    <row r="73" spans="1:12" x14ac:dyDescent="0.25">
      <c r="A73" s="166"/>
      <c r="B73" s="134" t="s">
        <v>188</v>
      </c>
      <c r="C73" s="154"/>
      <c r="D73" s="224">
        <f>$C$70*14/$K$70</f>
        <v>12</v>
      </c>
      <c r="E73" s="224">
        <f>$C$70*14/$K$70</f>
        <v>12</v>
      </c>
      <c r="F73" s="126"/>
      <c r="G73" s="126"/>
      <c r="H73" s="126"/>
      <c r="I73" s="126"/>
      <c r="J73" s="166"/>
    </row>
    <row r="74" spans="1:12" x14ac:dyDescent="0.25">
      <c r="A74" s="166"/>
      <c r="B74" s="134" t="s">
        <v>179</v>
      </c>
      <c r="C74" s="154"/>
      <c r="D74" s="224">
        <f>C70*27/K70</f>
        <v>23.142857142857142</v>
      </c>
      <c r="E74" s="224">
        <f>C70*23/K70</f>
        <v>19.714285714285715</v>
      </c>
      <c r="F74" s="126"/>
      <c r="G74" s="126"/>
      <c r="H74" s="126"/>
      <c r="I74" s="126"/>
      <c r="J74" s="166"/>
    </row>
    <row r="75" spans="1:12" x14ac:dyDescent="0.25">
      <c r="A75" s="166"/>
      <c r="B75" s="134" t="s">
        <v>37</v>
      </c>
      <c r="C75" s="154"/>
      <c r="D75" s="224">
        <f>$C$70*2.3/$K$70</f>
        <v>1.9714285714285715</v>
      </c>
      <c r="E75" s="224">
        <f>$C$70*2.3/$K$70</f>
        <v>1.9714285714285715</v>
      </c>
      <c r="F75" s="126"/>
      <c r="G75" s="126"/>
      <c r="H75" s="126"/>
      <c r="I75" s="126"/>
      <c r="J75" s="166"/>
    </row>
    <row r="76" spans="1:12" x14ac:dyDescent="0.25">
      <c r="A76" s="166"/>
      <c r="B76" s="66" t="s">
        <v>181</v>
      </c>
      <c r="C76" s="126"/>
      <c r="D76" s="127" t="s">
        <v>173</v>
      </c>
      <c r="E76" s="127">
        <f>C70*12.5/K70</f>
        <v>10.714285714285714</v>
      </c>
      <c r="F76" s="126"/>
      <c r="G76" s="126"/>
      <c r="H76" s="126"/>
      <c r="I76" s="126"/>
      <c r="J76" s="166"/>
    </row>
    <row r="77" spans="1:12" x14ac:dyDescent="0.25">
      <c r="A77" s="166"/>
      <c r="B77" s="66" t="s">
        <v>20</v>
      </c>
      <c r="C77" s="126"/>
      <c r="D77" s="127">
        <v>0.3</v>
      </c>
      <c r="E77" s="127">
        <v>0.3</v>
      </c>
      <c r="F77" s="126"/>
      <c r="G77" s="126"/>
      <c r="H77" s="126"/>
      <c r="I77" s="126"/>
      <c r="J77" s="166"/>
    </row>
    <row r="78" spans="1:12" x14ac:dyDescent="0.25">
      <c r="A78" s="166"/>
      <c r="B78" s="213" t="s">
        <v>164</v>
      </c>
      <c r="C78" s="149">
        <v>15</v>
      </c>
      <c r="D78" s="224"/>
      <c r="E78" s="224"/>
      <c r="F78" s="129">
        <f>C78*0.16/K78</f>
        <v>0.08</v>
      </c>
      <c r="G78" s="129">
        <f>C78*1.1/K78</f>
        <v>0.55000000000000004</v>
      </c>
      <c r="H78" s="129">
        <f>C78*1.57/K78</f>
        <v>0.78500000000000003</v>
      </c>
      <c r="I78" s="129">
        <f>C78*16.85/K78</f>
        <v>8.4250000000000007</v>
      </c>
      <c r="J78" s="166" t="s">
        <v>183</v>
      </c>
      <c r="K78" s="2">
        <v>30</v>
      </c>
      <c r="L78" s="72">
        <v>30</v>
      </c>
    </row>
    <row r="79" spans="1:12" x14ac:dyDescent="0.25">
      <c r="A79" s="166"/>
      <c r="B79" s="134" t="s">
        <v>56</v>
      </c>
      <c r="C79" s="154"/>
      <c r="D79" s="224">
        <f>$C$78*1.5/K78</f>
        <v>0.75</v>
      </c>
      <c r="E79" s="224">
        <f>$C$78*1.5/L78</f>
        <v>0.75</v>
      </c>
      <c r="F79" s="130"/>
      <c r="G79" s="130"/>
      <c r="H79" s="130"/>
      <c r="I79" s="130"/>
      <c r="J79" s="4" t="s">
        <v>16</v>
      </c>
    </row>
    <row r="80" spans="1:12" x14ac:dyDescent="0.25">
      <c r="A80" s="166"/>
      <c r="B80" s="134" t="s">
        <v>22</v>
      </c>
      <c r="C80" s="154"/>
      <c r="D80" s="224">
        <f>$C$78*1.5/K78</f>
        <v>0.75</v>
      </c>
      <c r="E80" s="224">
        <f>$C$78*1.5/L78</f>
        <v>0.75</v>
      </c>
      <c r="F80" s="130"/>
      <c r="G80" s="130"/>
      <c r="H80" s="130"/>
      <c r="I80" s="130"/>
      <c r="J80" s="166"/>
    </row>
    <row r="81" spans="1:21" x14ac:dyDescent="0.25">
      <c r="A81" s="166"/>
      <c r="B81" s="134" t="s">
        <v>55</v>
      </c>
      <c r="C81" s="154"/>
      <c r="D81" s="224">
        <f>$C$78*1.8/K78</f>
        <v>0.9</v>
      </c>
      <c r="E81" s="224">
        <f>$C$78*1.8/L78</f>
        <v>0.9</v>
      </c>
      <c r="F81" s="130"/>
      <c r="G81" s="130"/>
      <c r="H81" s="130"/>
      <c r="I81" s="130"/>
      <c r="J81" s="166"/>
    </row>
    <row r="82" spans="1:21" x14ac:dyDescent="0.25">
      <c r="A82" s="166"/>
      <c r="B82" s="134" t="s">
        <v>19</v>
      </c>
      <c r="C82" s="154"/>
      <c r="D82" s="224">
        <f>$C$78*0.54/K78</f>
        <v>0.27000000000000007</v>
      </c>
      <c r="E82" s="224">
        <f>$C$78*0.54/L78</f>
        <v>0.27000000000000007</v>
      </c>
      <c r="F82" s="130"/>
      <c r="G82" s="130"/>
      <c r="H82" s="130"/>
      <c r="I82" s="130"/>
      <c r="J82" s="166"/>
    </row>
    <row r="83" spans="1:21" x14ac:dyDescent="0.25">
      <c r="A83" s="166"/>
      <c r="B83" s="134" t="s">
        <v>54</v>
      </c>
      <c r="C83" s="154"/>
      <c r="D83" s="224">
        <f>$C$78*0.02/$K$78</f>
        <v>0.01</v>
      </c>
      <c r="E83" s="224">
        <f>$C$78*0.02/$K$78</f>
        <v>0.01</v>
      </c>
      <c r="F83" s="130"/>
      <c r="G83" s="130"/>
      <c r="H83" s="130"/>
      <c r="I83" s="130"/>
      <c r="J83" s="166"/>
      <c r="M83" s="69"/>
      <c r="N83" s="69"/>
      <c r="O83" s="69"/>
      <c r="P83" s="69"/>
      <c r="Q83" s="69"/>
      <c r="R83" s="69"/>
      <c r="S83" s="69"/>
      <c r="T83" s="69"/>
      <c r="U83" s="69"/>
    </row>
    <row r="84" spans="1:21" x14ac:dyDescent="0.25">
      <c r="A84" s="166"/>
      <c r="B84" s="134" t="s">
        <v>20</v>
      </c>
      <c r="C84" s="154"/>
      <c r="D84" s="224">
        <v>0.1</v>
      </c>
      <c r="E84" s="224">
        <v>0.1</v>
      </c>
      <c r="F84" s="130"/>
      <c r="G84" s="130"/>
      <c r="H84" s="130"/>
      <c r="I84" s="130"/>
      <c r="J84" s="166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31.5" x14ac:dyDescent="0.25">
      <c r="A85" s="166"/>
      <c r="B85" s="125" t="s">
        <v>352</v>
      </c>
      <c r="C85" s="348">
        <v>110</v>
      </c>
      <c r="D85" s="392"/>
      <c r="E85" s="392"/>
      <c r="F85" s="348">
        <v>6.01</v>
      </c>
      <c r="G85" s="348">
        <v>13.61</v>
      </c>
      <c r="H85" s="348">
        <v>21.34</v>
      </c>
      <c r="I85" s="348">
        <v>231.94</v>
      </c>
      <c r="J85" s="403" t="s">
        <v>353</v>
      </c>
      <c r="K85" s="69">
        <v>130</v>
      </c>
      <c r="L85" s="329"/>
      <c r="M85" s="378"/>
      <c r="N85" s="404"/>
      <c r="O85" s="404"/>
      <c r="P85" s="378"/>
      <c r="Q85" s="378"/>
      <c r="R85" s="378"/>
      <c r="S85" s="378"/>
      <c r="T85" s="94"/>
      <c r="U85" s="69"/>
    </row>
    <row r="86" spans="1:21" x14ac:dyDescent="0.25">
      <c r="A86" s="166"/>
      <c r="B86" s="123" t="s">
        <v>157</v>
      </c>
      <c r="C86" s="348"/>
      <c r="D86" s="382">
        <v>114.23</v>
      </c>
      <c r="E86" s="382">
        <v>84.62</v>
      </c>
      <c r="F86" s="348"/>
      <c r="G86" s="348"/>
      <c r="H86" s="348"/>
      <c r="I86" s="348"/>
      <c r="J86" s="405" t="s">
        <v>16</v>
      </c>
      <c r="K86" s="69"/>
      <c r="L86" s="333"/>
      <c r="M86" s="378"/>
      <c r="N86" s="404"/>
      <c r="O86" s="404"/>
      <c r="P86" s="378"/>
      <c r="Q86" s="378"/>
      <c r="R86" s="378"/>
      <c r="S86" s="378"/>
      <c r="T86" s="94"/>
      <c r="U86" s="69"/>
    </row>
    <row r="87" spans="1:21" x14ac:dyDescent="0.25">
      <c r="A87" s="166"/>
      <c r="B87" s="123" t="s">
        <v>22</v>
      </c>
      <c r="C87" s="348"/>
      <c r="D87" s="382">
        <v>7</v>
      </c>
      <c r="E87" s="382">
        <v>7</v>
      </c>
      <c r="F87" s="348"/>
      <c r="G87" s="348"/>
      <c r="H87" s="348"/>
      <c r="I87" s="348"/>
      <c r="J87" s="403"/>
      <c r="K87" s="69"/>
      <c r="L87" s="333"/>
      <c r="M87" s="378"/>
      <c r="N87" s="404"/>
      <c r="O87" s="404"/>
      <c r="P87" s="378"/>
      <c r="Q87" s="378"/>
      <c r="R87" s="378"/>
      <c r="S87" s="378"/>
      <c r="T87" s="94"/>
      <c r="U87" s="69"/>
    </row>
    <row r="88" spans="1:21" ht="31.5" x14ac:dyDescent="0.25">
      <c r="A88" s="166"/>
      <c r="B88" s="123" t="s">
        <v>354</v>
      </c>
      <c r="C88" s="348"/>
      <c r="D88" s="382" t="s">
        <v>173</v>
      </c>
      <c r="E88" s="382">
        <f>C85*121/K85</f>
        <v>102.38461538461539</v>
      </c>
      <c r="F88" s="348"/>
      <c r="G88" s="348"/>
      <c r="H88" s="348"/>
      <c r="I88" s="348"/>
      <c r="J88" s="403"/>
      <c r="K88" s="69"/>
      <c r="L88" s="333"/>
      <c r="M88" s="378"/>
      <c r="N88" s="404"/>
      <c r="O88" s="404"/>
      <c r="P88" s="378"/>
      <c r="Q88" s="378"/>
      <c r="R88" s="378"/>
      <c r="S88" s="378"/>
      <c r="T88" s="94"/>
      <c r="U88" s="69"/>
    </row>
    <row r="89" spans="1:21" x14ac:dyDescent="0.25">
      <c r="A89" s="166"/>
      <c r="B89" s="123" t="s">
        <v>78</v>
      </c>
      <c r="C89" s="348"/>
      <c r="D89" s="392" t="s">
        <v>79</v>
      </c>
      <c r="E89" s="406">
        <f>C85*8.5/K85</f>
        <v>7.1923076923076925</v>
      </c>
      <c r="F89" s="348"/>
      <c r="G89" s="348"/>
      <c r="H89" s="348"/>
      <c r="I89" s="348"/>
      <c r="J89" s="403"/>
      <c r="K89" s="69"/>
      <c r="L89" s="333"/>
      <c r="M89" s="378"/>
      <c r="N89" s="404"/>
      <c r="O89" s="404"/>
      <c r="P89" s="378"/>
      <c r="Q89" s="378"/>
      <c r="R89" s="378"/>
      <c r="S89" s="378"/>
      <c r="T89" s="94"/>
      <c r="U89" s="69"/>
    </row>
    <row r="90" spans="1:21" x14ac:dyDescent="0.25">
      <c r="A90" s="166"/>
      <c r="B90" s="123" t="s">
        <v>17</v>
      </c>
      <c r="C90" s="348"/>
      <c r="D90" s="382">
        <f>$C$85*17.6/$K$85</f>
        <v>14.892307692307694</v>
      </c>
      <c r="E90" s="382">
        <f>$C$85*17.6/$K$85</f>
        <v>14.892307692307694</v>
      </c>
      <c r="F90" s="348"/>
      <c r="G90" s="348"/>
      <c r="H90" s="348"/>
      <c r="I90" s="348"/>
      <c r="J90" s="403"/>
      <c r="K90" s="69"/>
      <c r="L90" s="333"/>
      <c r="M90" s="378"/>
      <c r="N90" s="404"/>
      <c r="O90" s="404"/>
      <c r="P90" s="378"/>
      <c r="Q90" s="378"/>
      <c r="R90" s="378"/>
      <c r="S90" s="378"/>
      <c r="T90" s="94"/>
      <c r="U90" s="69"/>
    </row>
    <row r="91" spans="1:21" x14ac:dyDescent="0.25">
      <c r="A91" s="166"/>
      <c r="B91" s="66" t="s">
        <v>355</v>
      </c>
      <c r="C91" s="348"/>
      <c r="D91" s="382">
        <f>$C$85*5/$K$85</f>
        <v>4.2307692307692308</v>
      </c>
      <c r="E91" s="382">
        <f>$C$85*5/$K$85</f>
        <v>4.2307692307692308</v>
      </c>
      <c r="F91" s="348"/>
      <c r="G91" s="348"/>
      <c r="H91" s="348"/>
      <c r="I91" s="348"/>
      <c r="J91" s="405"/>
      <c r="K91" s="69"/>
      <c r="L91" s="70"/>
      <c r="M91" s="378"/>
      <c r="N91" s="404"/>
      <c r="O91" s="404"/>
      <c r="P91" s="378"/>
      <c r="Q91" s="378"/>
      <c r="R91" s="378"/>
      <c r="S91" s="378"/>
      <c r="T91" s="94"/>
      <c r="U91" s="69"/>
    </row>
    <row r="92" spans="1:21" x14ac:dyDescent="0.25">
      <c r="A92" s="166"/>
      <c r="B92" s="66" t="s">
        <v>160</v>
      </c>
      <c r="C92" s="348"/>
      <c r="D92" s="382">
        <f>$C$85*5/$K$85</f>
        <v>4.2307692307692308</v>
      </c>
      <c r="E92" s="382">
        <f>$C$85*5/$K$85</f>
        <v>4.2307692307692308</v>
      </c>
      <c r="F92" s="348"/>
      <c r="G92" s="348"/>
      <c r="H92" s="348"/>
      <c r="I92" s="348"/>
      <c r="J92" s="403"/>
      <c r="K92" s="69"/>
      <c r="L92" s="70"/>
      <c r="M92" s="378"/>
      <c r="N92" s="404"/>
      <c r="O92" s="404"/>
      <c r="P92" s="378"/>
      <c r="Q92" s="378"/>
      <c r="R92" s="378"/>
      <c r="S92" s="378"/>
      <c r="T92" s="94"/>
      <c r="U92" s="69"/>
    </row>
    <row r="93" spans="1:21" x14ac:dyDescent="0.25">
      <c r="A93" s="166"/>
      <c r="B93" s="66" t="s">
        <v>20</v>
      </c>
      <c r="C93" s="348"/>
      <c r="D93" s="392">
        <v>0.3</v>
      </c>
      <c r="E93" s="392">
        <v>0.3</v>
      </c>
      <c r="F93" s="348"/>
      <c r="G93" s="348"/>
      <c r="H93" s="348"/>
      <c r="I93" s="348"/>
      <c r="J93" s="403"/>
      <c r="K93" s="69"/>
      <c r="L93" s="70"/>
      <c r="M93" s="378"/>
      <c r="N93" s="404"/>
      <c r="O93" s="404"/>
      <c r="P93" s="378"/>
      <c r="Q93" s="378"/>
      <c r="R93" s="378"/>
      <c r="S93" s="378"/>
      <c r="T93" s="94"/>
      <c r="U93" s="69"/>
    </row>
    <row r="94" spans="1:21" ht="31.5" x14ac:dyDescent="0.25">
      <c r="A94" s="3"/>
      <c r="B94" s="125" t="s">
        <v>454</v>
      </c>
      <c r="C94" s="126">
        <v>180</v>
      </c>
      <c r="D94" s="127"/>
      <c r="E94" s="127"/>
      <c r="F94" s="126">
        <v>0.18</v>
      </c>
      <c r="G94" s="126">
        <v>0</v>
      </c>
      <c r="H94" s="126">
        <v>5.85</v>
      </c>
      <c r="I94" s="126">
        <v>24.12</v>
      </c>
      <c r="J94" s="202" t="s">
        <v>455</v>
      </c>
      <c r="K94" s="72">
        <v>180</v>
      </c>
      <c r="M94" s="69"/>
      <c r="N94" s="69"/>
      <c r="O94" s="69"/>
      <c r="P94" s="69"/>
      <c r="Q94" s="69"/>
      <c r="R94" s="69"/>
      <c r="S94" s="69"/>
      <c r="T94" s="69"/>
      <c r="U94" s="69"/>
    </row>
    <row r="95" spans="1:21" x14ac:dyDescent="0.25">
      <c r="A95" s="3"/>
      <c r="B95" s="66" t="s">
        <v>80</v>
      </c>
      <c r="C95" s="126"/>
      <c r="D95" s="127">
        <v>0.9</v>
      </c>
      <c r="E95" s="127">
        <v>0.9</v>
      </c>
      <c r="F95" s="126"/>
      <c r="G95" s="126"/>
      <c r="H95" s="126"/>
      <c r="I95" s="126"/>
      <c r="J95" s="314"/>
      <c r="K95" s="72"/>
      <c r="M95" s="69"/>
      <c r="N95" s="69"/>
      <c r="O95" s="69"/>
      <c r="P95" s="69"/>
      <c r="Q95" s="69"/>
      <c r="R95" s="69"/>
      <c r="S95" s="69"/>
      <c r="T95" s="69"/>
      <c r="U95" s="69"/>
    </row>
    <row r="96" spans="1:21" x14ac:dyDescent="0.25">
      <c r="A96" s="3"/>
      <c r="B96" s="66" t="s">
        <v>27</v>
      </c>
      <c r="C96" s="126"/>
      <c r="D96" s="127">
        <v>180</v>
      </c>
      <c r="E96" s="127">
        <v>180</v>
      </c>
      <c r="F96" s="126"/>
      <c r="G96" s="126"/>
      <c r="H96" s="126"/>
      <c r="I96" s="126"/>
      <c r="J96" s="3"/>
      <c r="K96" s="72"/>
      <c r="M96" s="69"/>
      <c r="N96" s="69"/>
      <c r="O96" s="69"/>
      <c r="P96" s="69"/>
      <c r="Q96" s="69"/>
      <c r="R96" s="69"/>
      <c r="S96" s="69"/>
      <c r="T96" s="69"/>
      <c r="U96" s="69"/>
    </row>
    <row r="97" spans="1:11" x14ac:dyDescent="0.25">
      <c r="A97" s="3"/>
      <c r="B97" s="66" t="s">
        <v>19</v>
      </c>
      <c r="C97" s="126"/>
      <c r="D97" s="122">
        <v>6.3</v>
      </c>
      <c r="E97" s="122">
        <v>6.3</v>
      </c>
      <c r="F97" s="126"/>
      <c r="G97" s="126"/>
      <c r="H97" s="126"/>
      <c r="I97" s="126"/>
      <c r="J97" s="3"/>
      <c r="K97" s="72"/>
    </row>
    <row r="98" spans="1:11" x14ac:dyDescent="0.25">
      <c r="B98" s="97" t="s">
        <v>28</v>
      </c>
      <c r="C98" s="129">
        <v>15</v>
      </c>
      <c r="D98" s="130">
        <f>C98</f>
        <v>15</v>
      </c>
      <c r="E98" s="130">
        <f>C98</f>
        <v>15</v>
      </c>
      <c r="F98" s="126">
        <f>C98*1.52/20</f>
        <v>1.1400000000000001</v>
      </c>
      <c r="G98" s="126">
        <f>C98*0.18/K98</f>
        <v>0.13499999999999998</v>
      </c>
      <c r="H98" s="126">
        <f>C98*9.34/K98</f>
        <v>7.0049999999999999</v>
      </c>
      <c r="I98" s="126">
        <f>C98*46.2/K98</f>
        <v>34.65</v>
      </c>
      <c r="J98" s="3"/>
      <c r="K98" s="72">
        <v>20</v>
      </c>
    </row>
    <row r="99" spans="1:11" x14ac:dyDescent="0.25">
      <c r="A99" s="3"/>
      <c r="B99" s="125" t="s">
        <v>84</v>
      </c>
      <c r="C99" s="129">
        <v>20</v>
      </c>
      <c r="D99" s="80">
        <f>C99</f>
        <v>20</v>
      </c>
      <c r="E99" s="80">
        <f>C99</f>
        <v>20</v>
      </c>
      <c r="F99" s="129">
        <f>C99*1.54/K99</f>
        <v>1.54</v>
      </c>
      <c r="G99" s="129">
        <f>C99*0.28/K99</f>
        <v>0.28000000000000003</v>
      </c>
      <c r="H99" s="129">
        <f>C99*7.52/K99</f>
        <v>7.5199999999999987</v>
      </c>
      <c r="I99" s="129">
        <f>C99*40.2/K99</f>
        <v>40.200000000000003</v>
      </c>
      <c r="J99" s="3"/>
      <c r="K99" s="72">
        <v>20</v>
      </c>
    </row>
    <row r="100" spans="1:11" x14ac:dyDescent="0.25">
      <c r="A100" s="5" t="s">
        <v>81</v>
      </c>
      <c r="B100" s="5"/>
      <c r="C100" s="8">
        <f>SUM(C70:C99)</f>
        <v>400</v>
      </c>
      <c r="D100" s="5"/>
      <c r="E100" s="5"/>
      <c r="F100" s="225">
        <f>SUM(F70:F99)</f>
        <v>19.96</v>
      </c>
      <c r="G100" s="225">
        <f>SUM(G70:G99)</f>
        <v>27.085000000000004</v>
      </c>
      <c r="H100" s="225">
        <f>SUM(H70:H99)</f>
        <v>49.98</v>
      </c>
      <c r="I100" s="225">
        <f>SUM(I70:I99)</f>
        <v>526.03499999999997</v>
      </c>
      <c r="J100" s="5"/>
    </row>
    <row r="101" spans="1:11" x14ac:dyDescent="0.25">
      <c r="A101" s="13" t="s">
        <v>82</v>
      </c>
      <c r="B101" s="13"/>
      <c r="C101" s="13"/>
      <c r="D101" s="13"/>
      <c r="E101" s="13"/>
      <c r="F101" s="68">
        <f>F22+F24+F65+F69+F100</f>
        <v>60.32</v>
      </c>
      <c r="G101" s="68">
        <f>G22+G24+G65+G69+G100</f>
        <v>67.17</v>
      </c>
      <c r="H101" s="68">
        <f>H22+H24+H65+H69+H100</f>
        <v>203.55499999999998</v>
      </c>
      <c r="I101" s="68">
        <f>I22+I24+I65+I69+I100</f>
        <v>1666.4670000000001</v>
      </c>
      <c r="J101" s="13"/>
    </row>
    <row r="102" spans="1:11" ht="16.5" thickBot="1" x14ac:dyDescent="0.3"/>
    <row r="103" spans="1:11" ht="16.5" thickBot="1" x14ac:dyDescent="0.3">
      <c r="A103" s="182" t="s">
        <v>131</v>
      </c>
      <c r="B103" s="183" t="s">
        <v>132</v>
      </c>
      <c r="C103" s="184" t="s">
        <v>133</v>
      </c>
      <c r="D103" s="185" t="s">
        <v>134</v>
      </c>
      <c r="E103" s="398"/>
      <c r="F103" s="398"/>
      <c r="G103" s="398"/>
      <c r="H103" s="398"/>
    </row>
    <row r="104" spans="1:11" x14ac:dyDescent="0.25">
      <c r="A104" s="187" t="s">
        <v>135</v>
      </c>
      <c r="B104" s="188">
        <f>I22</f>
        <v>370.59200000000004</v>
      </c>
      <c r="C104" s="189">
        <f>B104/B109*100</f>
        <v>22.23818413445931</v>
      </c>
      <c r="D104" s="190">
        <v>0.2</v>
      </c>
      <c r="E104" s="70"/>
      <c r="F104" s="70"/>
      <c r="G104" s="191"/>
      <c r="H104" s="192"/>
    </row>
    <row r="105" spans="1:11" x14ac:dyDescent="0.25">
      <c r="A105" s="187" t="s">
        <v>136</v>
      </c>
      <c r="B105" s="188">
        <f>I24</f>
        <v>45</v>
      </c>
      <c r="C105" s="189">
        <f>B105/B109*100</f>
        <v>2.7003234987551505</v>
      </c>
      <c r="D105" s="190">
        <v>0.05</v>
      </c>
      <c r="E105" s="70"/>
      <c r="F105" s="70"/>
      <c r="G105" s="191"/>
      <c r="H105" s="192"/>
    </row>
    <row r="106" spans="1:11" x14ac:dyDescent="0.25">
      <c r="A106" s="193" t="s">
        <v>137</v>
      </c>
      <c r="B106" s="194">
        <f>I65</f>
        <v>513.04999999999995</v>
      </c>
      <c r="C106" s="195">
        <f>B106/B109*100</f>
        <v>30.786688245251774</v>
      </c>
      <c r="D106" s="196">
        <v>0.35</v>
      </c>
      <c r="E106" s="70"/>
      <c r="F106" s="70"/>
      <c r="G106" s="191"/>
      <c r="H106" s="157"/>
    </row>
    <row r="107" spans="1:11" x14ac:dyDescent="0.25">
      <c r="A107" s="193" t="s">
        <v>138</v>
      </c>
      <c r="B107" s="194">
        <f>I69</f>
        <v>211.79</v>
      </c>
      <c r="C107" s="195">
        <f>B107/B109*100</f>
        <v>12.708922528918965</v>
      </c>
      <c r="D107" s="196">
        <v>0.15</v>
      </c>
      <c r="E107" s="70"/>
      <c r="F107" s="70"/>
      <c r="G107" s="191"/>
      <c r="H107" s="192"/>
    </row>
    <row r="108" spans="1:11" ht="16.5" thickBot="1" x14ac:dyDescent="0.3">
      <c r="A108" s="193" t="s">
        <v>139</v>
      </c>
      <c r="B108" s="194">
        <f>I100</f>
        <v>526.03499999999997</v>
      </c>
      <c r="C108" s="195">
        <f>B108/B109*100</f>
        <v>31.56588159261479</v>
      </c>
      <c r="D108" s="196">
        <v>0.25</v>
      </c>
      <c r="E108" s="70"/>
      <c r="F108" s="70"/>
      <c r="G108" s="191"/>
      <c r="H108" s="192"/>
    </row>
    <row r="109" spans="1:11" ht="16.5" thickBot="1" x14ac:dyDescent="0.3">
      <c r="A109" s="197" t="s">
        <v>140</v>
      </c>
      <c r="B109" s="198">
        <f>SUM(B104:B108)</f>
        <v>1666.4670000000001</v>
      </c>
      <c r="C109" s="199"/>
      <c r="D109" s="200"/>
      <c r="E109" s="70"/>
      <c r="F109" s="70"/>
      <c r="G109" s="70"/>
      <c r="H109" s="70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SheetLayoutView="100" workbookViewId="0">
      <selection activeCell="O5" sqref="O5"/>
    </sheetView>
  </sheetViews>
  <sheetFormatPr defaultRowHeight="15" x14ac:dyDescent="0.25"/>
  <cols>
    <col min="1" max="1" width="26.140625" customWidth="1"/>
    <col min="2" max="2" width="6.42578125" customWidth="1"/>
    <col min="3" max="3" width="5.42578125" customWidth="1"/>
    <col min="4" max="4" width="5.85546875" customWidth="1"/>
    <col min="5" max="6" width="5.28515625" customWidth="1"/>
    <col min="7" max="7" width="5.7109375" customWidth="1"/>
    <col min="8" max="10" width="6.28515625" customWidth="1"/>
    <col min="11" max="11" width="6.140625" customWidth="1"/>
    <col min="12" max="12" width="7" customWidth="1"/>
    <col min="13" max="13" width="8.85546875" customWidth="1"/>
    <col min="14" max="14" width="11.42578125" customWidth="1"/>
  </cols>
  <sheetData>
    <row r="1" spans="1:16" ht="42" customHeight="1" x14ac:dyDescent="0.3">
      <c r="A1" s="422" t="s">
        <v>406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6" ht="10.5" customHeight="1" thickBot="1" x14ac:dyDescent="0.3"/>
    <row r="3" spans="1:16" ht="15.75" customHeight="1" thickBot="1" x14ac:dyDescent="0.3">
      <c r="A3" s="429" t="s">
        <v>109</v>
      </c>
      <c r="B3" s="423" t="s">
        <v>110</v>
      </c>
      <c r="C3" s="424"/>
      <c r="D3" s="424"/>
      <c r="E3" s="424"/>
      <c r="F3" s="424"/>
      <c r="G3" s="424"/>
      <c r="H3" s="424"/>
      <c r="I3" s="424"/>
      <c r="J3" s="424"/>
      <c r="K3" s="424"/>
      <c r="L3" s="425" t="s">
        <v>113</v>
      </c>
      <c r="M3" s="425" t="s">
        <v>112</v>
      </c>
      <c r="N3" s="427" t="s">
        <v>111</v>
      </c>
      <c r="O3" s="420" t="s">
        <v>428</v>
      </c>
      <c r="P3" s="420" t="s">
        <v>429</v>
      </c>
    </row>
    <row r="4" spans="1:16" ht="89.25" customHeight="1" thickBot="1" x14ac:dyDescent="0.3">
      <c r="A4" s="430"/>
      <c r="B4" s="16">
        <v>1</v>
      </c>
      <c r="C4" s="17">
        <v>2</v>
      </c>
      <c r="D4" s="18">
        <v>3</v>
      </c>
      <c r="E4" s="17">
        <v>4</v>
      </c>
      <c r="F4" s="18">
        <v>5</v>
      </c>
      <c r="G4" s="17">
        <v>6</v>
      </c>
      <c r="H4" s="18">
        <v>7</v>
      </c>
      <c r="I4" s="16">
        <v>8</v>
      </c>
      <c r="J4" s="17">
        <v>9</v>
      </c>
      <c r="K4" s="18">
        <v>10</v>
      </c>
      <c r="L4" s="426"/>
      <c r="M4" s="426"/>
      <c r="N4" s="428"/>
      <c r="O4" s="421"/>
      <c r="P4" s="421"/>
    </row>
    <row r="5" spans="1:16" ht="15.75" x14ac:dyDescent="0.25">
      <c r="A5" s="20" t="s">
        <v>84</v>
      </c>
      <c r="B5" s="57">
        <v>40</v>
      </c>
      <c r="C5" s="19">
        <v>40</v>
      </c>
      <c r="D5" s="19">
        <v>40</v>
      </c>
      <c r="E5" s="19">
        <v>40</v>
      </c>
      <c r="F5" s="19">
        <v>40</v>
      </c>
      <c r="G5" s="19">
        <v>40</v>
      </c>
      <c r="H5" s="19">
        <v>40</v>
      </c>
      <c r="I5" s="19">
        <v>40</v>
      </c>
      <c r="J5" s="19">
        <v>40</v>
      </c>
      <c r="K5" s="49">
        <v>40</v>
      </c>
      <c r="L5" s="51">
        <v>40</v>
      </c>
      <c r="M5" s="54">
        <v>40</v>
      </c>
      <c r="N5" s="109">
        <v>100</v>
      </c>
      <c r="O5" s="112">
        <f>B5+C5+D5+E5+F5</f>
        <v>200</v>
      </c>
      <c r="P5" s="112">
        <f>G5+H5+I5+J5+K5</f>
        <v>200</v>
      </c>
    </row>
    <row r="6" spans="1:16" ht="15.75" x14ac:dyDescent="0.25">
      <c r="A6" s="21" t="s">
        <v>28</v>
      </c>
      <c r="B6" s="59">
        <v>48.6</v>
      </c>
      <c r="C6" s="44">
        <v>63.1</v>
      </c>
      <c r="D6" s="44">
        <v>57.7</v>
      </c>
      <c r="E6" s="44">
        <v>60.1</v>
      </c>
      <c r="F6" s="44">
        <v>58</v>
      </c>
      <c r="G6" s="44">
        <v>66.099999999999994</v>
      </c>
      <c r="H6" s="44">
        <v>58.3</v>
      </c>
      <c r="I6" s="7">
        <v>60</v>
      </c>
      <c r="J6" s="7">
        <v>60</v>
      </c>
      <c r="K6" s="50">
        <v>69.2</v>
      </c>
      <c r="L6" s="52">
        <v>60.11</v>
      </c>
      <c r="M6" s="55">
        <v>60</v>
      </c>
      <c r="N6" s="110">
        <v>100.2</v>
      </c>
      <c r="O6" s="112">
        <f t="shared" ref="O6:O33" si="0">B6+C6+D6+E6+F6</f>
        <v>287.5</v>
      </c>
      <c r="P6" s="112">
        <f t="shared" ref="P6:P33" si="1">G6+H6+I6+J6+K6</f>
        <v>313.59999999999997</v>
      </c>
    </row>
    <row r="7" spans="1:16" ht="15.75" x14ac:dyDescent="0.25">
      <c r="A7" s="21" t="s">
        <v>85</v>
      </c>
      <c r="B7" s="59">
        <v>2.8</v>
      </c>
      <c r="C7" s="44">
        <v>47.4</v>
      </c>
      <c r="D7" s="44">
        <v>29.5</v>
      </c>
      <c r="E7" s="44">
        <v>23.4</v>
      </c>
      <c r="F7" s="44">
        <v>12.8</v>
      </c>
      <c r="G7" s="44">
        <v>2.7</v>
      </c>
      <c r="H7" s="44">
        <v>66</v>
      </c>
      <c r="I7" s="44">
        <v>24.8</v>
      </c>
      <c r="J7" s="44">
        <v>33</v>
      </c>
      <c r="K7" s="60">
        <v>6.3</v>
      </c>
      <c r="L7" s="61">
        <v>24.9</v>
      </c>
      <c r="M7" s="55">
        <v>25</v>
      </c>
      <c r="N7" s="110">
        <v>99.4</v>
      </c>
      <c r="O7" s="112">
        <f t="shared" si="0"/>
        <v>115.89999999999999</v>
      </c>
      <c r="P7" s="112">
        <f t="shared" si="1"/>
        <v>132.80000000000001</v>
      </c>
    </row>
    <row r="8" spans="1:16" ht="15.75" x14ac:dyDescent="0.25">
      <c r="A8" s="21" t="s">
        <v>94</v>
      </c>
      <c r="B8" s="58"/>
      <c r="C8" s="7"/>
      <c r="D8" s="7">
        <v>9</v>
      </c>
      <c r="E8" s="7"/>
      <c r="F8" s="7"/>
      <c r="G8" s="7">
        <v>7.5</v>
      </c>
      <c r="H8" s="7"/>
      <c r="I8" s="7"/>
      <c r="J8" s="7">
        <v>7.5</v>
      </c>
      <c r="K8" s="50"/>
      <c r="L8" s="52">
        <v>2.4</v>
      </c>
      <c r="M8" s="55">
        <v>2</v>
      </c>
      <c r="N8" s="110">
        <v>120</v>
      </c>
      <c r="O8" s="112">
        <f t="shared" si="0"/>
        <v>9</v>
      </c>
      <c r="P8" s="112">
        <f t="shared" si="1"/>
        <v>15</v>
      </c>
    </row>
    <row r="9" spans="1:16" ht="15.75" x14ac:dyDescent="0.25">
      <c r="A9" s="21" t="s">
        <v>93</v>
      </c>
      <c r="B9" s="59">
        <v>31.9</v>
      </c>
      <c r="C9" s="44"/>
      <c r="D9" s="44">
        <v>43.2</v>
      </c>
      <c r="E9" s="44"/>
      <c r="F9" s="44">
        <v>79</v>
      </c>
      <c r="G9" s="44">
        <v>19</v>
      </c>
      <c r="H9" s="44"/>
      <c r="I9" s="44">
        <v>38.9</v>
      </c>
      <c r="J9" s="44">
        <v>72.400000000000006</v>
      </c>
      <c r="K9" s="60">
        <v>20.9</v>
      </c>
      <c r="L9" s="61">
        <v>30.5</v>
      </c>
      <c r="M9" s="55">
        <v>30</v>
      </c>
      <c r="N9" s="110">
        <v>101.7</v>
      </c>
      <c r="O9" s="112">
        <f t="shared" si="0"/>
        <v>154.1</v>
      </c>
      <c r="P9" s="112">
        <f t="shared" si="1"/>
        <v>151.20000000000002</v>
      </c>
    </row>
    <row r="10" spans="1:16" ht="15.75" x14ac:dyDescent="0.25">
      <c r="A10" s="21" t="s">
        <v>114</v>
      </c>
      <c r="B10" s="59"/>
      <c r="C10" s="44">
        <v>31.9</v>
      </c>
      <c r="D10" s="44"/>
      <c r="E10" s="44">
        <v>10.4</v>
      </c>
      <c r="F10" s="44"/>
      <c r="G10" s="44">
        <v>37.4</v>
      </c>
      <c r="H10" s="44"/>
      <c r="I10" s="44">
        <v>6</v>
      </c>
      <c r="J10" s="44"/>
      <c r="K10" s="60"/>
      <c r="L10" s="61">
        <v>8.6</v>
      </c>
      <c r="M10" s="55">
        <v>8</v>
      </c>
      <c r="N10" s="110">
        <v>107.1</v>
      </c>
      <c r="O10" s="112">
        <f t="shared" si="0"/>
        <v>42.3</v>
      </c>
      <c r="P10" s="112">
        <f t="shared" si="1"/>
        <v>43.4</v>
      </c>
    </row>
    <row r="11" spans="1:16" ht="15.75" x14ac:dyDescent="0.25">
      <c r="A11" s="21" t="s">
        <v>86</v>
      </c>
      <c r="B11" s="59">
        <v>123.3</v>
      </c>
      <c r="C11" s="44">
        <v>138.9</v>
      </c>
      <c r="D11" s="44">
        <v>100.8</v>
      </c>
      <c r="E11" s="44">
        <v>137.69999999999999</v>
      </c>
      <c r="F11" s="44">
        <v>132.69999999999999</v>
      </c>
      <c r="G11" s="44">
        <v>56.5</v>
      </c>
      <c r="H11" s="44">
        <v>104.4</v>
      </c>
      <c r="I11" s="44">
        <v>153.9</v>
      </c>
      <c r="J11" s="44">
        <v>152.5</v>
      </c>
      <c r="K11" s="60">
        <v>112.9</v>
      </c>
      <c r="L11" s="61">
        <v>121.4</v>
      </c>
      <c r="M11" s="55">
        <v>120</v>
      </c>
      <c r="N11" s="110">
        <v>101.1</v>
      </c>
      <c r="O11" s="112">
        <f t="shared" si="0"/>
        <v>633.4</v>
      </c>
      <c r="P11" s="112">
        <f t="shared" si="1"/>
        <v>580.20000000000005</v>
      </c>
    </row>
    <row r="12" spans="1:16" ht="29.25" x14ac:dyDescent="0.25">
      <c r="A12" s="21" t="s">
        <v>95</v>
      </c>
      <c r="B12" s="59">
        <v>206.6</v>
      </c>
      <c r="C12" s="44">
        <v>145.80000000000001</v>
      </c>
      <c r="D12" s="44">
        <v>150.5</v>
      </c>
      <c r="E12" s="44">
        <v>250</v>
      </c>
      <c r="F12" s="44">
        <v>145</v>
      </c>
      <c r="G12" s="44">
        <v>233</v>
      </c>
      <c r="H12" s="44">
        <v>239.5</v>
      </c>
      <c r="I12" s="44">
        <v>102.2</v>
      </c>
      <c r="J12" s="44">
        <v>77</v>
      </c>
      <c r="K12" s="60">
        <v>236.2</v>
      </c>
      <c r="L12" s="61">
        <v>178.6</v>
      </c>
      <c r="M12" s="55">
        <v>180</v>
      </c>
      <c r="N12" s="110">
        <v>99.2</v>
      </c>
      <c r="O12" s="112">
        <f t="shared" si="0"/>
        <v>897.9</v>
      </c>
      <c r="P12" s="112">
        <f t="shared" si="1"/>
        <v>887.90000000000009</v>
      </c>
    </row>
    <row r="13" spans="1:16" ht="15.75" x14ac:dyDescent="0.25">
      <c r="A13" s="21" t="s">
        <v>96</v>
      </c>
      <c r="B13" s="58">
        <v>95</v>
      </c>
      <c r="C13" s="7">
        <v>100</v>
      </c>
      <c r="D13" s="7"/>
      <c r="E13" s="7">
        <v>110</v>
      </c>
      <c r="F13" s="7">
        <v>120</v>
      </c>
      <c r="G13" s="7">
        <v>100</v>
      </c>
      <c r="H13" s="7">
        <v>95</v>
      </c>
      <c r="I13" s="7">
        <v>100</v>
      </c>
      <c r="J13" s="7">
        <v>95</v>
      </c>
      <c r="K13" s="50">
        <v>130</v>
      </c>
      <c r="L13" s="113">
        <v>94.5</v>
      </c>
      <c r="M13" s="55">
        <v>95</v>
      </c>
      <c r="N13" s="110">
        <v>99.47</v>
      </c>
      <c r="O13" s="112">
        <f t="shared" si="0"/>
        <v>425</v>
      </c>
      <c r="P13" s="112">
        <f t="shared" si="1"/>
        <v>520</v>
      </c>
    </row>
    <row r="14" spans="1:16" ht="29.25" x14ac:dyDescent="0.25">
      <c r="A14" s="21" t="s">
        <v>97</v>
      </c>
      <c r="B14" s="58">
        <v>140</v>
      </c>
      <c r="C14" s="7">
        <v>150</v>
      </c>
      <c r="D14" s="7">
        <v>130</v>
      </c>
      <c r="E14" s="7"/>
      <c r="F14" s="7">
        <v>150</v>
      </c>
      <c r="G14" s="7"/>
      <c r="H14" s="7">
        <v>140</v>
      </c>
      <c r="I14" s="7">
        <v>150</v>
      </c>
      <c r="J14" s="7">
        <v>140</v>
      </c>
      <c r="K14" s="50"/>
      <c r="L14" s="52">
        <v>100</v>
      </c>
      <c r="M14" s="55">
        <v>100</v>
      </c>
      <c r="N14" s="110">
        <v>100</v>
      </c>
      <c r="O14" s="112">
        <f t="shared" si="0"/>
        <v>570</v>
      </c>
      <c r="P14" s="112">
        <f t="shared" si="1"/>
        <v>430</v>
      </c>
    </row>
    <row r="15" spans="1:16" ht="15.75" x14ac:dyDescent="0.25">
      <c r="A15" s="21" t="s">
        <v>98</v>
      </c>
      <c r="B15" s="58">
        <v>19</v>
      </c>
      <c r="C15" s="7"/>
      <c r="D15" s="7">
        <v>19</v>
      </c>
      <c r="E15" s="7"/>
      <c r="F15" s="7"/>
      <c r="G15" s="7">
        <v>19</v>
      </c>
      <c r="H15" s="7">
        <v>19</v>
      </c>
      <c r="I15" s="7"/>
      <c r="J15" s="7">
        <v>19</v>
      </c>
      <c r="K15" s="50"/>
      <c r="L15" s="52">
        <v>9.5</v>
      </c>
      <c r="M15" s="55">
        <v>9</v>
      </c>
      <c r="N15" s="110">
        <v>105.5</v>
      </c>
      <c r="O15" s="112">
        <f t="shared" si="0"/>
        <v>38</v>
      </c>
      <c r="P15" s="112">
        <f t="shared" si="1"/>
        <v>57</v>
      </c>
    </row>
    <row r="16" spans="1:16" ht="15.75" x14ac:dyDescent="0.25">
      <c r="A16" s="21" t="s">
        <v>39</v>
      </c>
      <c r="B16" s="59">
        <v>35.54</v>
      </c>
      <c r="C16" s="44">
        <v>27.3</v>
      </c>
      <c r="D16" s="44">
        <v>16.3</v>
      </c>
      <c r="E16" s="44">
        <v>24.5</v>
      </c>
      <c r="F16" s="44">
        <v>22.3</v>
      </c>
      <c r="G16" s="44">
        <v>13.3</v>
      </c>
      <c r="H16" s="44">
        <v>38.840000000000003</v>
      </c>
      <c r="I16" s="44">
        <v>7.6</v>
      </c>
      <c r="J16" s="44">
        <v>31.54</v>
      </c>
      <c r="K16" s="60">
        <v>29</v>
      </c>
      <c r="L16" s="114">
        <v>24.62</v>
      </c>
      <c r="M16" s="55">
        <v>25</v>
      </c>
      <c r="N16" s="110">
        <v>98.4</v>
      </c>
      <c r="O16" s="112">
        <f t="shared" si="0"/>
        <v>125.94</v>
      </c>
      <c r="P16" s="112">
        <f t="shared" si="1"/>
        <v>120.28</v>
      </c>
    </row>
    <row r="17" spans="1:16" ht="15.75" x14ac:dyDescent="0.25">
      <c r="A17" s="21" t="s">
        <v>87</v>
      </c>
      <c r="B17" s="58">
        <v>25</v>
      </c>
      <c r="C17" s="7"/>
      <c r="D17" s="7"/>
      <c r="E17" s="7"/>
      <c r="F17" s="7">
        <v>40</v>
      </c>
      <c r="G17" s="7">
        <v>25</v>
      </c>
      <c r="H17" s="7"/>
      <c r="I17" s="7"/>
      <c r="J17" s="7"/>
      <c r="K17" s="50">
        <v>30</v>
      </c>
      <c r="L17" s="52">
        <v>12</v>
      </c>
      <c r="M17" s="55">
        <v>12</v>
      </c>
      <c r="N17" s="110">
        <v>100</v>
      </c>
      <c r="O17" s="112">
        <f t="shared" si="0"/>
        <v>65</v>
      </c>
      <c r="P17" s="112">
        <f t="shared" si="1"/>
        <v>55</v>
      </c>
    </row>
    <row r="18" spans="1:16" ht="15.75" x14ac:dyDescent="0.25">
      <c r="A18" s="21" t="s">
        <v>99</v>
      </c>
      <c r="B18" s="58">
        <v>1.5</v>
      </c>
      <c r="C18" s="7"/>
      <c r="D18" s="7"/>
      <c r="E18" s="7"/>
      <c r="F18" s="7">
        <v>4.25</v>
      </c>
      <c r="G18" s="7"/>
      <c r="H18" s="7"/>
      <c r="I18" s="7">
        <v>4.25</v>
      </c>
      <c r="J18" s="7"/>
      <c r="K18" s="50"/>
      <c r="L18" s="52">
        <v>1</v>
      </c>
      <c r="M18" s="55">
        <v>1</v>
      </c>
      <c r="N18" s="110">
        <v>100</v>
      </c>
      <c r="O18" s="112">
        <f t="shared" si="0"/>
        <v>5.75</v>
      </c>
      <c r="P18" s="112">
        <f t="shared" si="1"/>
        <v>4.25</v>
      </c>
    </row>
    <row r="19" spans="1:16" ht="15.75" x14ac:dyDescent="0.25">
      <c r="A19" s="21" t="s">
        <v>100</v>
      </c>
      <c r="B19" s="58"/>
      <c r="C19" s="7"/>
      <c r="D19" s="7"/>
      <c r="E19" s="7">
        <v>2.4750000000000001</v>
      </c>
      <c r="F19" s="7"/>
      <c r="G19" s="7"/>
      <c r="H19" s="7"/>
      <c r="I19" s="7"/>
      <c r="J19" s="7"/>
      <c r="K19" s="50">
        <v>2.5499999999999998</v>
      </c>
      <c r="L19" s="52">
        <v>0.50249999999999995</v>
      </c>
      <c r="M19" s="55">
        <v>0.5</v>
      </c>
      <c r="N19" s="110">
        <v>100.5</v>
      </c>
      <c r="O19" s="112">
        <f t="shared" si="0"/>
        <v>2.4750000000000001</v>
      </c>
      <c r="P19" s="112">
        <f t="shared" si="1"/>
        <v>2.5499999999999998</v>
      </c>
    </row>
    <row r="20" spans="1:16" ht="15.75" x14ac:dyDescent="0.25">
      <c r="A20" s="21" t="s">
        <v>88</v>
      </c>
      <c r="B20" s="87">
        <v>0.75</v>
      </c>
      <c r="C20" s="88">
        <v>0.9</v>
      </c>
      <c r="D20" s="88">
        <v>0.2</v>
      </c>
      <c r="E20" s="88">
        <v>0.9</v>
      </c>
      <c r="F20" s="88">
        <v>0.2</v>
      </c>
      <c r="G20" s="88">
        <v>0.2</v>
      </c>
      <c r="H20" s="88">
        <v>0.75</v>
      </c>
      <c r="I20" s="88">
        <v>0</v>
      </c>
      <c r="J20" s="88">
        <v>0.17</v>
      </c>
      <c r="K20" s="89">
        <v>0.9</v>
      </c>
      <c r="L20" s="90">
        <v>0.497</v>
      </c>
      <c r="M20" s="115">
        <v>0.5</v>
      </c>
      <c r="N20" s="116">
        <v>99.4</v>
      </c>
      <c r="O20" s="117">
        <f>B20+C20+D20+E20+F20</f>
        <v>2.95</v>
      </c>
      <c r="P20" s="118">
        <f t="shared" si="1"/>
        <v>2.02</v>
      </c>
    </row>
    <row r="21" spans="1:16" ht="15.75" x14ac:dyDescent="0.25">
      <c r="A21" s="21" t="s">
        <v>101</v>
      </c>
      <c r="B21" s="87">
        <v>67.97</v>
      </c>
      <c r="C21" s="88">
        <v>58</v>
      </c>
      <c r="D21" s="88">
        <v>16</v>
      </c>
      <c r="E21" s="88">
        <v>64</v>
      </c>
      <c r="F21" s="88">
        <v>40</v>
      </c>
      <c r="G21" s="88">
        <v>67.430000000000007</v>
      </c>
      <c r="H21" s="88">
        <v>60.57</v>
      </c>
      <c r="I21" s="88">
        <v>52.14</v>
      </c>
      <c r="J21" s="88">
        <v>15.83</v>
      </c>
      <c r="K21" s="89">
        <v>58</v>
      </c>
      <c r="L21" s="90">
        <v>49.99</v>
      </c>
      <c r="M21" s="71">
        <v>50</v>
      </c>
      <c r="N21" s="110">
        <v>100</v>
      </c>
      <c r="O21" s="112">
        <f t="shared" si="0"/>
        <v>245.97</v>
      </c>
      <c r="P21" s="112">
        <f t="shared" si="1"/>
        <v>253.97</v>
      </c>
    </row>
    <row r="22" spans="1:16" ht="15.75" x14ac:dyDescent="0.25">
      <c r="A22" s="21" t="s">
        <v>89</v>
      </c>
      <c r="B22" s="58"/>
      <c r="C22" s="7"/>
      <c r="D22" s="73">
        <v>91.97</v>
      </c>
      <c r="E22" s="73"/>
      <c r="F22" s="73"/>
      <c r="G22" s="73"/>
      <c r="H22" s="73"/>
      <c r="I22" s="73">
        <v>109.7</v>
      </c>
      <c r="J22" s="73"/>
      <c r="K22" s="50"/>
      <c r="L22" s="52">
        <v>20.16</v>
      </c>
      <c r="M22" s="55">
        <v>20</v>
      </c>
      <c r="N22" s="110">
        <v>100.8</v>
      </c>
      <c r="O22" s="112">
        <f t="shared" si="0"/>
        <v>91.97</v>
      </c>
      <c r="P22" s="112">
        <f t="shared" si="1"/>
        <v>109.7</v>
      </c>
    </row>
    <row r="23" spans="1:16" ht="15.75" x14ac:dyDescent="0.25">
      <c r="A23" s="21" t="s">
        <v>102</v>
      </c>
      <c r="B23" s="58"/>
      <c r="C23" s="7">
        <v>55.2</v>
      </c>
      <c r="D23" s="7"/>
      <c r="E23" s="7"/>
      <c r="F23" s="7"/>
      <c r="G23" s="73">
        <v>88.29</v>
      </c>
      <c r="H23" s="7"/>
      <c r="I23" s="7"/>
      <c r="J23" s="7">
        <v>55.2</v>
      </c>
      <c r="K23" s="50"/>
      <c r="L23" s="52">
        <v>19.87</v>
      </c>
      <c r="M23" s="55">
        <v>20</v>
      </c>
      <c r="N23" s="110">
        <v>99.3</v>
      </c>
      <c r="O23" s="112">
        <f t="shared" si="0"/>
        <v>55.2</v>
      </c>
      <c r="P23" s="112">
        <f t="shared" si="1"/>
        <v>143.49</v>
      </c>
    </row>
    <row r="24" spans="1:16" ht="29.25" x14ac:dyDescent="0.25">
      <c r="A24" s="21" t="s">
        <v>103</v>
      </c>
      <c r="B24" s="58">
        <v>48</v>
      </c>
      <c r="C24" s="7"/>
      <c r="D24" s="95">
        <v>50</v>
      </c>
      <c r="E24" s="73">
        <v>37</v>
      </c>
      <c r="F24" s="73">
        <v>39</v>
      </c>
      <c r="G24" s="73"/>
      <c r="H24" s="73">
        <v>39</v>
      </c>
      <c r="I24" s="73">
        <v>20</v>
      </c>
      <c r="J24" s="73">
        <v>37</v>
      </c>
      <c r="K24" s="91">
        <v>48</v>
      </c>
      <c r="L24" s="92">
        <v>31.8</v>
      </c>
      <c r="M24" s="55">
        <v>32</v>
      </c>
      <c r="N24" s="110">
        <v>99.4</v>
      </c>
      <c r="O24" s="112">
        <f t="shared" si="0"/>
        <v>174</v>
      </c>
      <c r="P24" s="112">
        <f t="shared" si="1"/>
        <v>144</v>
      </c>
    </row>
    <row r="25" spans="1:16" ht="43.5" x14ac:dyDescent="0.25">
      <c r="A25" s="21" t="s">
        <v>104</v>
      </c>
      <c r="B25" s="59">
        <v>351.9</v>
      </c>
      <c r="C25" s="44">
        <v>434.7</v>
      </c>
      <c r="D25" s="44">
        <v>335</v>
      </c>
      <c r="E25" s="44">
        <v>404.7</v>
      </c>
      <c r="F25" s="44">
        <v>477.5</v>
      </c>
      <c r="G25" s="44">
        <v>365.7</v>
      </c>
      <c r="H25" s="44">
        <v>377.7</v>
      </c>
      <c r="I25" s="44">
        <v>325.60000000000002</v>
      </c>
      <c r="J25" s="44">
        <v>411.3</v>
      </c>
      <c r="K25" s="60">
        <v>387.6</v>
      </c>
      <c r="L25" s="61">
        <v>387.17</v>
      </c>
      <c r="M25" s="55">
        <v>390</v>
      </c>
      <c r="N25" s="110">
        <v>99.27</v>
      </c>
      <c r="O25" s="112">
        <f t="shared" si="0"/>
        <v>2003.8</v>
      </c>
      <c r="P25" s="112">
        <f t="shared" si="1"/>
        <v>1867.9</v>
      </c>
    </row>
    <row r="26" spans="1:16" ht="15.75" x14ac:dyDescent="0.25">
      <c r="A26" s="21" t="s">
        <v>90</v>
      </c>
      <c r="B26" s="58"/>
      <c r="C26" s="44">
        <v>139.5</v>
      </c>
      <c r="D26" s="7">
        <v>22.65</v>
      </c>
      <c r="E26" s="7"/>
      <c r="F26" s="7"/>
      <c r="G26" s="7"/>
      <c r="H26" s="7">
        <v>139.5</v>
      </c>
      <c r="I26" s="7"/>
      <c r="J26" s="7"/>
      <c r="K26" s="50"/>
      <c r="L26" s="92">
        <v>30.17</v>
      </c>
      <c r="M26" s="55">
        <v>30</v>
      </c>
      <c r="N26" s="110">
        <v>100.6</v>
      </c>
      <c r="O26" s="112">
        <f t="shared" si="0"/>
        <v>162.15</v>
      </c>
      <c r="P26" s="112">
        <f t="shared" si="1"/>
        <v>139.5</v>
      </c>
    </row>
    <row r="27" spans="1:16" ht="15.75" x14ac:dyDescent="0.25">
      <c r="A27" s="21" t="s">
        <v>91</v>
      </c>
      <c r="B27" s="58">
        <v>1</v>
      </c>
      <c r="C27" s="73">
        <v>21.42</v>
      </c>
      <c r="D27" s="73">
        <v>7.49</v>
      </c>
      <c r="E27" s="7">
        <v>5</v>
      </c>
      <c r="F27" s="7">
        <v>5</v>
      </c>
      <c r="G27" s="7">
        <v>14</v>
      </c>
      <c r="H27" s="7">
        <v>10.16</v>
      </c>
      <c r="I27" s="7">
        <v>1</v>
      </c>
      <c r="J27" s="73">
        <v>16.25</v>
      </c>
      <c r="K27" s="91">
        <v>9.23</v>
      </c>
      <c r="L27" s="92">
        <v>9.0500000000000007</v>
      </c>
      <c r="M27" s="55">
        <v>9</v>
      </c>
      <c r="N27" s="110">
        <v>100.6</v>
      </c>
      <c r="O27" s="112">
        <f t="shared" si="0"/>
        <v>39.910000000000004</v>
      </c>
      <c r="P27" s="112">
        <f t="shared" si="1"/>
        <v>50.64</v>
      </c>
    </row>
    <row r="28" spans="1:16" ht="15.75" x14ac:dyDescent="0.25">
      <c r="A28" s="21" t="s">
        <v>92</v>
      </c>
      <c r="B28" s="58">
        <v>5</v>
      </c>
      <c r="C28" s="7"/>
      <c r="D28" s="7"/>
      <c r="E28" s="7">
        <v>5</v>
      </c>
      <c r="F28" s="7"/>
      <c r="G28" s="7">
        <v>20</v>
      </c>
      <c r="H28" s="7"/>
      <c r="I28" s="7"/>
      <c r="J28" s="7">
        <v>10</v>
      </c>
      <c r="K28" s="50"/>
      <c r="L28" s="52">
        <v>4</v>
      </c>
      <c r="M28" s="55">
        <v>4</v>
      </c>
      <c r="N28" s="110">
        <v>100</v>
      </c>
      <c r="O28" s="112">
        <f t="shared" si="0"/>
        <v>10</v>
      </c>
      <c r="P28" s="112">
        <f t="shared" si="1"/>
        <v>30</v>
      </c>
    </row>
    <row r="29" spans="1:16" ht="15.75" x14ac:dyDescent="0.25">
      <c r="A29" s="21" t="s">
        <v>105</v>
      </c>
      <c r="B29" s="59">
        <v>16.5</v>
      </c>
      <c r="C29" s="44">
        <v>27.2</v>
      </c>
      <c r="D29" s="44">
        <v>24.4</v>
      </c>
      <c r="E29" s="44">
        <v>18.600000000000001</v>
      </c>
      <c r="F29" s="44">
        <v>11.6</v>
      </c>
      <c r="G29" s="44">
        <v>12.2</v>
      </c>
      <c r="H29" s="44">
        <v>18.5</v>
      </c>
      <c r="I29" s="44">
        <v>22.1</v>
      </c>
      <c r="J29" s="44">
        <v>16.3</v>
      </c>
      <c r="K29" s="60">
        <v>14</v>
      </c>
      <c r="L29" s="61">
        <v>18.100000000000001</v>
      </c>
      <c r="M29" s="55">
        <v>18</v>
      </c>
      <c r="N29" s="110">
        <v>100.7</v>
      </c>
      <c r="O29" s="112">
        <f t="shared" si="0"/>
        <v>98.299999999999983</v>
      </c>
      <c r="P29" s="112">
        <f t="shared" si="1"/>
        <v>83.1</v>
      </c>
    </row>
    <row r="30" spans="1:16" ht="15.75" x14ac:dyDescent="0.25">
      <c r="A30" s="21" t="s">
        <v>37</v>
      </c>
      <c r="B30" s="59">
        <v>6</v>
      </c>
      <c r="C30" s="44">
        <v>5.4</v>
      </c>
      <c r="D30" s="44">
        <v>5</v>
      </c>
      <c r="E30" s="44">
        <v>9.1999999999999993</v>
      </c>
      <c r="F30" s="44">
        <v>10.9</v>
      </c>
      <c r="G30" s="44">
        <v>12.3</v>
      </c>
      <c r="H30" s="44">
        <v>7</v>
      </c>
      <c r="I30" s="44">
        <v>12.6</v>
      </c>
      <c r="J30" s="44">
        <v>10.5</v>
      </c>
      <c r="K30" s="60">
        <v>11.2</v>
      </c>
      <c r="L30" s="92">
        <v>9</v>
      </c>
      <c r="M30" s="55">
        <v>9</v>
      </c>
      <c r="N30" s="110">
        <v>100</v>
      </c>
      <c r="O30" s="112">
        <f t="shared" si="0"/>
        <v>36.5</v>
      </c>
      <c r="P30" s="112">
        <f t="shared" si="1"/>
        <v>53.599999999999994</v>
      </c>
    </row>
    <row r="31" spans="1:16" ht="15.75" x14ac:dyDescent="0.25">
      <c r="A31" s="21" t="s">
        <v>106</v>
      </c>
      <c r="B31" s="87">
        <v>46.86</v>
      </c>
      <c r="C31" s="73">
        <v>7.5</v>
      </c>
      <c r="D31" s="73">
        <v>68.39</v>
      </c>
      <c r="E31" s="73">
        <v>49.66</v>
      </c>
      <c r="F31" s="73">
        <v>3.43</v>
      </c>
      <c r="G31" s="73">
        <v>6.18</v>
      </c>
      <c r="H31" s="73">
        <v>7.93</v>
      </c>
      <c r="I31" s="73">
        <v>127.33</v>
      </c>
      <c r="J31" s="73">
        <v>13.1</v>
      </c>
      <c r="K31" s="91">
        <v>70.62</v>
      </c>
      <c r="L31" s="92">
        <v>40.090000000000003</v>
      </c>
      <c r="M31" s="55">
        <v>40</v>
      </c>
      <c r="N31" s="110">
        <v>100.2</v>
      </c>
      <c r="O31" s="112">
        <f t="shared" si="0"/>
        <v>175.84</v>
      </c>
      <c r="P31" s="112">
        <f t="shared" si="1"/>
        <v>225.16</v>
      </c>
    </row>
    <row r="32" spans="1:16" ht="15.75" x14ac:dyDescent="0.25">
      <c r="A32" s="21" t="s">
        <v>107</v>
      </c>
      <c r="B32" s="87"/>
      <c r="C32" s="73">
        <v>0.53</v>
      </c>
      <c r="D32" s="73">
        <v>0.75</v>
      </c>
      <c r="E32" s="73">
        <v>0.77</v>
      </c>
      <c r="F32" s="73"/>
      <c r="G32" s="73"/>
      <c r="H32" s="73">
        <v>0.57999999999999996</v>
      </c>
      <c r="I32" s="73">
        <v>0.77</v>
      </c>
      <c r="J32" s="73">
        <v>0.6</v>
      </c>
      <c r="K32" s="91"/>
      <c r="L32" s="92">
        <v>0.4</v>
      </c>
      <c r="M32" s="55">
        <v>0.4</v>
      </c>
      <c r="N32" s="110">
        <v>99.9</v>
      </c>
      <c r="O32" s="112">
        <f t="shared" si="0"/>
        <v>2.0499999999999998</v>
      </c>
      <c r="P32" s="112">
        <f t="shared" si="1"/>
        <v>1.9500000000000002</v>
      </c>
    </row>
    <row r="33" spans="1:16" ht="44.25" thickBot="1" x14ac:dyDescent="0.3">
      <c r="A33" s="22" t="s">
        <v>108</v>
      </c>
      <c r="B33" s="84">
        <v>3.2</v>
      </c>
      <c r="C33" s="85">
        <v>3</v>
      </c>
      <c r="D33" s="85">
        <v>2.8</v>
      </c>
      <c r="E33" s="85">
        <v>3.6</v>
      </c>
      <c r="F33" s="85">
        <v>2.6</v>
      </c>
      <c r="G33" s="85">
        <v>2.8</v>
      </c>
      <c r="H33" s="85">
        <v>3</v>
      </c>
      <c r="I33" s="85">
        <v>2.7</v>
      </c>
      <c r="J33" s="85">
        <v>3.7</v>
      </c>
      <c r="K33" s="86">
        <v>2.5</v>
      </c>
      <c r="L33" s="53">
        <v>3</v>
      </c>
      <c r="M33" s="56">
        <v>3</v>
      </c>
      <c r="N33" s="111">
        <v>100.1</v>
      </c>
      <c r="O33" s="112">
        <f t="shared" si="0"/>
        <v>15.2</v>
      </c>
      <c r="P33" s="112">
        <f t="shared" si="1"/>
        <v>14.7</v>
      </c>
    </row>
  </sheetData>
  <mergeCells count="8">
    <mergeCell ref="P3:P4"/>
    <mergeCell ref="O3:O4"/>
    <mergeCell ref="A1:N1"/>
    <mergeCell ref="B3:K3"/>
    <mergeCell ref="L3:L4"/>
    <mergeCell ref="M3:M4"/>
    <mergeCell ref="N3:N4"/>
    <mergeCell ref="A3:A4"/>
  </mergeCells>
  <pageMargins left="0.31496062992125984" right="0" top="0.35433070866141736" bottom="0" header="0" footer="0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5" sqref="B15"/>
    </sheetView>
  </sheetViews>
  <sheetFormatPr defaultRowHeight="15" x14ac:dyDescent="0.25"/>
  <cols>
    <col min="1" max="1" width="16.28515625" customWidth="1"/>
    <col min="5" max="5" width="10.42578125" customWidth="1"/>
  </cols>
  <sheetData>
    <row r="1" spans="1:5" ht="78" customHeight="1" x14ac:dyDescent="0.25">
      <c r="A1" s="431" t="s">
        <v>401</v>
      </c>
      <c r="B1" s="432"/>
      <c r="C1" s="432"/>
      <c r="D1" s="432"/>
      <c r="E1" s="432"/>
    </row>
    <row r="2" spans="1:5" ht="15.75" thickBot="1" x14ac:dyDescent="0.3">
      <c r="A2" s="1"/>
      <c r="B2" s="1"/>
      <c r="C2" s="1"/>
      <c r="D2" s="1"/>
      <c r="E2" s="1"/>
    </row>
    <row r="3" spans="1:5" ht="63.75" thickBot="1" x14ac:dyDescent="0.3">
      <c r="A3" s="23" t="s">
        <v>110</v>
      </c>
      <c r="B3" s="24" t="s">
        <v>126</v>
      </c>
      <c r="C3" s="24" t="s">
        <v>127</v>
      </c>
      <c r="D3" s="24" t="s">
        <v>128</v>
      </c>
      <c r="E3" s="24" t="s">
        <v>129</v>
      </c>
    </row>
    <row r="4" spans="1:5" ht="16.5" thickBot="1" x14ac:dyDescent="0.3">
      <c r="A4" s="25" t="s">
        <v>115</v>
      </c>
      <c r="B4" s="26">
        <v>42</v>
      </c>
      <c r="C4" s="36">
        <v>47</v>
      </c>
      <c r="D4" s="26">
        <v>203</v>
      </c>
      <c r="E4" s="36">
        <v>1400</v>
      </c>
    </row>
    <row r="5" spans="1:5" ht="15.75" x14ac:dyDescent="0.25">
      <c r="A5" s="27" t="s">
        <v>116</v>
      </c>
      <c r="B5" s="28">
        <v>54.64</v>
      </c>
      <c r="C5" s="29">
        <v>52.71</v>
      </c>
      <c r="D5" s="28">
        <v>221.81</v>
      </c>
      <c r="E5" s="29">
        <v>1502.41</v>
      </c>
    </row>
    <row r="6" spans="1:5" ht="15.75" x14ac:dyDescent="0.25">
      <c r="A6" s="30" t="s">
        <v>117</v>
      </c>
      <c r="B6" s="31">
        <v>87.69</v>
      </c>
      <c r="C6" s="32">
        <v>76.02</v>
      </c>
      <c r="D6" s="31">
        <v>238.38</v>
      </c>
      <c r="E6" s="32">
        <v>1990.06</v>
      </c>
    </row>
    <row r="7" spans="1:5" ht="15.75" x14ac:dyDescent="0.25">
      <c r="A7" s="30" t="s">
        <v>118</v>
      </c>
      <c r="B7" s="31">
        <v>70.67</v>
      </c>
      <c r="C7" s="32">
        <v>71.84</v>
      </c>
      <c r="D7" s="31">
        <v>200.13</v>
      </c>
      <c r="E7" s="32">
        <v>1765.24</v>
      </c>
    </row>
    <row r="8" spans="1:5" ht="15.75" x14ac:dyDescent="0.25">
      <c r="A8" s="30" t="s">
        <v>119</v>
      </c>
      <c r="B8" s="31">
        <v>58.26</v>
      </c>
      <c r="C8" s="32">
        <v>60.55</v>
      </c>
      <c r="D8" s="31">
        <v>193.24</v>
      </c>
      <c r="E8" s="32">
        <v>1495.61</v>
      </c>
    </row>
    <row r="9" spans="1:5" ht="15.75" x14ac:dyDescent="0.25">
      <c r="A9" s="30" t="s">
        <v>120</v>
      </c>
      <c r="B9" s="31">
        <v>51.8</v>
      </c>
      <c r="C9" s="32">
        <v>46.52</v>
      </c>
      <c r="D9" s="31">
        <v>228.06</v>
      </c>
      <c r="E9" s="32">
        <v>1543.73</v>
      </c>
    </row>
    <row r="10" spans="1:5" ht="15.75" x14ac:dyDescent="0.25">
      <c r="A10" s="30" t="s">
        <v>121</v>
      </c>
      <c r="B10" s="31">
        <v>58.88</v>
      </c>
      <c r="C10" s="32">
        <v>61.76</v>
      </c>
      <c r="D10" s="31">
        <v>202.06</v>
      </c>
      <c r="E10" s="32">
        <v>1613.43</v>
      </c>
    </row>
    <row r="11" spans="1:5" ht="15.75" x14ac:dyDescent="0.25">
      <c r="A11" s="30" t="s">
        <v>122</v>
      </c>
      <c r="B11" s="31">
        <v>80.400000000000006</v>
      </c>
      <c r="C11" s="32">
        <v>55.73</v>
      </c>
      <c r="D11" s="31">
        <v>250.53</v>
      </c>
      <c r="E11" s="32">
        <v>1771.48</v>
      </c>
    </row>
    <row r="12" spans="1:5" ht="15.75" x14ac:dyDescent="0.25">
      <c r="A12" s="30" t="s">
        <v>123</v>
      </c>
      <c r="B12" s="31">
        <v>74.099999999999994</v>
      </c>
      <c r="C12" s="32">
        <v>81.849999999999994</v>
      </c>
      <c r="D12" s="31">
        <v>203.14</v>
      </c>
      <c r="E12" s="32">
        <v>1856.21</v>
      </c>
    </row>
    <row r="13" spans="1:5" ht="15.75" x14ac:dyDescent="0.25">
      <c r="A13" s="30" t="s">
        <v>124</v>
      </c>
      <c r="B13" s="31">
        <v>66.16</v>
      </c>
      <c r="C13" s="32">
        <v>58.54</v>
      </c>
      <c r="D13" s="31">
        <v>258.74</v>
      </c>
      <c r="E13" s="32">
        <v>1762.74</v>
      </c>
    </row>
    <row r="14" spans="1:5" ht="16.5" thickBot="1" x14ac:dyDescent="0.3">
      <c r="A14" s="30" t="s">
        <v>125</v>
      </c>
      <c r="B14" s="31">
        <v>60.07</v>
      </c>
      <c r="C14" s="32">
        <v>67.209999999999994</v>
      </c>
      <c r="D14" s="31">
        <v>188.15</v>
      </c>
      <c r="E14" s="32">
        <v>1605.79</v>
      </c>
    </row>
    <row r="15" spans="1:5" ht="31.5" x14ac:dyDescent="0.25">
      <c r="A15" s="33" t="s">
        <v>130</v>
      </c>
      <c r="B15" s="34">
        <f>SUM(B5:B14)/10</f>
        <v>66.26700000000001</v>
      </c>
      <c r="C15" s="35">
        <f>SUM(C5:C14)/10</f>
        <v>63.273000000000003</v>
      </c>
      <c r="D15" s="34">
        <f>SUM(D5:D14)/10</f>
        <v>218.42399999999998</v>
      </c>
      <c r="E15" s="35">
        <f>SUM(E5:E14)/10</f>
        <v>1690.6699999999996</v>
      </c>
    </row>
    <row r="16" spans="1:5" x14ac:dyDescent="0.25">
      <c r="B16" s="98"/>
      <c r="C16" s="98"/>
      <c r="D16" s="98"/>
      <c r="E16" s="9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workbookViewId="0">
      <selection activeCell="I7" sqref="I7"/>
    </sheetView>
  </sheetViews>
  <sheetFormatPr defaultRowHeight="15" x14ac:dyDescent="0.25"/>
  <cols>
    <col min="1" max="1" width="14.85546875" customWidth="1"/>
    <col min="5" max="5" width="10.7109375" customWidth="1"/>
  </cols>
  <sheetData>
    <row r="1" spans="1:6" ht="77.25" customHeight="1" x14ac:dyDescent="0.25">
      <c r="A1" s="433" t="s">
        <v>402</v>
      </c>
      <c r="B1" s="434"/>
      <c r="C1" s="434"/>
      <c r="D1" s="434"/>
      <c r="E1" s="434"/>
      <c r="F1" s="434"/>
    </row>
    <row r="2" spans="1:6" ht="21" customHeight="1" thickBot="1" x14ac:dyDescent="0.3">
      <c r="A2" s="1"/>
      <c r="B2" s="1"/>
      <c r="C2" s="1"/>
      <c r="D2" s="1"/>
      <c r="E2" s="1"/>
      <c r="F2" s="1"/>
    </row>
    <row r="3" spans="1:6" ht="32.25" thickBot="1" x14ac:dyDescent="0.3">
      <c r="A3" s="37" t="s">
        <v>110</v>
      </c>
      <c r="B3" s="38" t="s">
        <v>14</v>
      </c>
      <c r="C3" s="38" t="s">
        <v>31</v>
      </c>
      <c r="D3" s="38" t="s">
        <v>33</v>
      </c>
      <c r="E3" s="38" t="s">
        <v>70</v>
      </c>
      <c r="F3" s="38" t="s">
        <v>73</v>
      </c>
    </row>
    <row r="4" spans="1:6" ht="16.5" thickBot="1" x14ac:dyDescent="0.3">
      <c r="A4" s="39" t="s">
        <v>115</v>
      </c>
      <c r="B4" s="40">
        <v>0.2</v>
      </c>
      <c r="C4" s="40">
        <v>0.05</v>
      </c>
      <c r="D4" s="40">
        <v>0.35</v>
      </c>
      <c r="E4" s="40">
        <v>0.15</v>
      </c>
      <c r="F4" s="40">
        <v>0.25</v>
      </c>
    </row>
    <row r="5" spans="1:6" ht="16.5" thickBot="1" x14ac:dyDescent="0.3">
      <c r="A5" s="41" t="s">
        <v>116</v>
      </c>
      <c r="B5" s="42">
        <v>22</v>
      </c>
      <c r="C5" s="42">
        <v>4.3</v>
      </c>
      <c r="D5" s="42">
        <v>38.6</v>
      </c>
      <c r="E5" s="42">
        <v>13.4</v>
      </c>
      <c r="F5" s="42">
        <v>21.8</v>
      </c>
    </row>
    <row r="6" spans="1:6" ht="16.5" thickBot="1" x14ac:dyDescent="0.3">
      <c r="A6" s="41" t="s">
        <v>117</v>
      </c>
      <c r="B6" s="42">
        <v>27.1</v>
      </c>
      <c r="C6" s="42">
        <v>4.8</v>
      </c>
      <c r="D6" s="42">
        <v>31.8</v>
      </c>
      <c r="E6" s="42">
        <v>11.9</v>
      </c>
      <c r="F6" s="42">
        <v>24.5</v>
      </c>
    </row>
    <row r="7" spans="1:6" ht="16.5" thickBot="1" x14ac:dyDescent="0.3">
      <c r="A7" s="41" t="s">
        <v>118</v>
      </c>
      <c r="B7" s="42">
        <v>16.7</v>
      </c>
      <c r="C7" s="42">
        <v>3.2</v>
      </c>
      <c r="D7" s="42">
        <v>37.200000000000003</v>
      </c>
      <c r="E7" s="42">
        <v>15.8</v>
      </c>
      <c r="F7" s="42">
        <v>27</v>
      </c>
    </row>
    <row r="8" spans="1:6" ht="16.5" thickBot="1" x14ac:dyDescent="0.3">
      <c r="A8" s="41" t="s">
        <v>119</v>
      </c>
      <c r="B8" s="42">
        <v>23.5</v>
      </c>
      <c r="C8" s="42">
        <v>3.5</v>
      </c>
      <c r="D8" s="42">
        <v>33.799999999999997</v>
      </c>
      <c r="E8" s="42">
        <v>14.6</v>
      </c>
      <c r="F8" s="42">
        <v>24.6</v>
      </c>
    </row>
    <row r="9" spans="1:6" ht="16.5" thickBot="1" x14ac:dyDescent="0.3">
      <c r="A9" s="41" t="s">
        <v>120</v>
      </c>
      <c r="B9" s="42">
        <v>22.3</v>
      </c>
      <c r="C9" s="42">
        <v>3.7</v>
      </c>
      <c r="D9" s="42">
        <v>34.9</v>
      </c>
      <c r="E9" s="42">
        <v>13.7</v>
      </c>
      <c r="F9" s="42">
        <v>25.5</v>
      </c>
    </row>
    <row r="10" spans="1:6" ht="16.5" thickBot="1" x14ac:dyDescent="0.3">
      <c r="A10" s="41" t="s">
        <v>121</v>
      </c>
      <c r="B10" s="42">
        <v>19.100000000000001</v>
      </c>
      <c r="C10" s="42">
        <v>2.9</v>
      </c>
      <c r="D10" s="42">
        <v>34.299999999999997</v>
      </c>
      <c r="E10" s="42">
        <v>12.4</v>
      </c>
      <c r="F10" s="42">
        <v>31.3</v>
      </c>
    </row>
    <row r="11" spans="1:6" ht="16.5" thickBot="1" x14ac:dyDescent="0.3">
      <c r="A11" s="41" t="s">
        <v>122</v>
      </c>
      <c r="B11" s="42">
        <v>30.4</v>
      </c>
      <c r="C11" s="42">
        <v>3.6</v>
      </c>
      <c r="D11" s="42">
        <v>28.9</v>
      </c>
      <c r="E11" s="42">
        <v>15</v>
      </c>
      <c r="F11" s="42">
        <v>22</v>
      </c>
    </row>
    <row r="12" spans="1:6" ht="16.5" thickBot="1" x14ac:dyDescent="0.3">
      <c r="A12" s="41" t="s">
        <v>123</v>
      </c>
      <c r="B12" s="42">
        <v>21.5</v>
      </c>
      <c r="C12" s="42">
        <v>2.5</v>
      </c>
      <c r="D12" s="42">
        <v>35.9</v>
      </c>
      <c r="E12" s="42">
        <v>12.1</v>
      </c>
      <c r="F12" s="42">
        <v>28</v>
      </c>
    </row>
    <row r="13" spans="1:6" ht="16.5" thickBot="1" x14ac:dyDescent="0.3">
      <c r="A13" s="41" t="s">
        <v>124</v>
      </c>
      <c r="B13" s="42">
        <v>20.6</v>
      </c>
      <c r="C13" s="42">
        <v>3.7</v>
      </c>
      <c r="D13" s="42">
        <v>40.1</v>
      </c>
      <c r="E13" s="42">
        <v>14.4</v>
      </c>
      <c r="F13" s="42">
        <v>21.3</v>
      </c>
    </row>
    <row r="14" spans="1:6" ht="16.5" thickBot="1" x14ac:dyDescent="0.3">
      <c r="A14" s="41" t="s">
        <v>125</v>
      </c>
      <c r="B14" s="42">
        <v>23.1</v>
      </c>
      <c r="C14" s="42">
        <v>2.9</v>
      </c>
      <c r="D14" s="42">
        <v>29.5</v>
      </c>
      <c r="E14" s="42">
        <v>13.2</v>
      </c>
      <c r="F14" s="42">
        <v>31.3</v>
      </c>
    </row>
    <row r="15" spans="1:6" ht="32.25" thickBot="1" x14ac:dyDescent="0.3">
      <c r="A15" s="43" t="s">
        <v>130</v>
      </c>
      <c r="B15" s="99">
        <f>SUM(B5:B14)/10</f>
        <v>22.63</v>
      </c>
      <c r="C15" s="104">
        <f>SUM(C5:C14)/10</f>
        <v>3.5100000000000002</v>
      </c>
      <c r="D15" s="104">
        <f>SUM(D5:D14)/10</f>
        <v>34.500000000000007</v>
      </c>
      <c r="E15" s="104">
        <f>SUM(E5:E14)/10</f>
        <v>13.65</v>
      </c>
      <c r="F15" s="104">
        <f>SUM(F5:F14)/10</f>
        <v>25.73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24"/>
  <sheetViews>
    <sheetView view="pageBreakPreview" zoomScaleSheetLayoutView="100" workbookViewId="0">
      <selection activeCell="K12" sqref="K12"/>
    </sheetView>
  </sheetViews>
  <sheetFormatPr defaultRowHeight="15.75" x14ac:dyDescent="0.25"/>
  <cols>
    <col min="1" max="1" width="20.140625" style="124" customWidth="1"/>
    <col min="2" max="2" width="22.7109375" style="124" customWidth="1"/>
    <col min="3" max="3" width="9.140625" style="124"/>
    <col min="4" max="5" width="9.140625" style="226"/>
    <col min="6" max="9" width="9.140625" style="124"/>
    <col min="10" max="10" width="12" style="124" customWidth="1"/>
    <col min="11" max="16384" width="9.140625" style="124"/>
  </cols>
  <sheetData>
    <row r="1" spans="1:15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2"/>
      <c r="L1" s="2"/>
      <c r="M1" s="2"/>
      <c r="N1" s="2"/>
    </row>
    <row r="2" spans="1:15" x14ac:dyDescent="0.25">
      <c r="A2" s="202" t="s">
        <v>462</v>
      </c>
      <c r="B2" s="2"/>
      <c r="C2" s="2"/>
      <c r="D2" s="74"/>
      <c r="E2" s="74"/>
      <c r="F2" s="2"/>
      <c r="G2" s="2"/>
      <c r="H2" s="2"/>
      <c r="I2" s="2"/>
      <c r="J2" s="2"/>
      <c r="K2" s="2"/>
      <c r="L2" s="2"/>
      <c r="M2" s="2"/>
      <c r="N2" s="2"/>
    </row>
    <row r="3" spans="1:15" x14ac:dyDescent="0.25">
      <c r="A3" s="2"/>
      <c r="B3" s="2"/>
      <c r="C3" s="2"/>
      <c r="D3" s="74"/>
      <c r="E3" s="74"/>
      <c r="F3" s="2"/>
      <c r="G3" s="2"/>
      <c r="H3" s="2"/>
      <c r="I3" s="2"/>
      <c r="J3" s="2"/>
      <c r="K3" s="2"/>
      <c r="L3" s="2"/>
      <c r="M3" s="2"/>
      <c r="N3" s="2"/>
    </row>
    <row r="4" spans="1:15" ht="15.75" customHeight="1" x14ac:dyDescent="0.25">
      <c r="A4" s="411" t="s">
        <v>1</v>
      </c>
      <c r="B4" s="411" t="s">
        <v>2</v>
      </c>
      <c r="C4" s="411" t="s">
        <v>3</v>
      </c>
      <c r="D4" s="415" t="s">
        <v>12</v>
      </c>
      <c r="E4" s="416"/>
      <c r="F4" s="409" t="s">
        <v>7</v>
      </c>
      <c r="G4" s="410"/>
      <c r="H4" s="410"/>
      <c r="I4" s="411" t="s">
        <v>8</v>
      </c>
      <c r="J4" s="409" t="s">
        <v>9</v>
      </c>
      <c r="K4" s="2"/>
      <c r="L4" s="2"/>
      <c r="M4" s="2"/>
      <c r="N4" s="2"/>
    </row>
    <row r="5" spans="1:15" x14ac:dyDescent="0.25">
      <c r="A5" s="412"/>
      <c r="B5" s="412"/>
      <c r="C5" s="412"/>
      <c r="D5" s="75" t="s">
        <v>10</v>
      </c>
      <c r="E5" s="75" t="s">
        <v>11</v>
      </c>
      <c r="F5" s="4" t="s">
        <v>4</v>
      </c>
      <c r="G5" s="4" t="s">
        <v>5</v>
      </c>
      <c r="H5" s="4" t="s">
        <v>6</v>
      </c>
      <c r="I5" s="412"/>
      <c r="J5" s="410"/>
      <c r="K5" s="2"/>
      <c r="L5" s="2"/>
      <c r="M5" s="2"/>
      <c r="N5" s="2"/>
    </row>
    <row r="6" spans="1:15" x14ac:dyDescent="0.25">
      <c r="A6" s="201" t="s">
        <v>141</v>
      </c>
      <c r="B6" s="3"/>
      <c r="C6" s="3"/>
      <c r="D6" s="76"/>
      <c r="E6" s="76"/>
      <c r="F6" s="3"/>
      <c r="G6" s="3"/>
      <c r="H6" s="3"/>
      <c r="I6" s="3"/>
      <c r="J6" s="3"/>
      <c r="K6" s="2"/>
      <c r="L6" s="2"/>
      <c r="M6" s="2"/>
      <c r="N6" s="2"/>
    </row>
    <row r="7" spans="1:15" x14ac:dyDescent="0.25">
      <c r="A7" s="4" t="s">
        <v>14</v>
      </c>
      <c r="B7" s="204" t="s">
        <v>142</v>
      </c>
      <c r="C7" s="126">
        <v>150</v>
      </c>
      <c r="D7" s="127"/>
      <c r="E7" s="127"/>
      <c r="F7" s="4">
        <v>29.2</v>
      </c>
      <c r="G7" s="4">
        <v>12.1</v>
      </c>
      <c r="H7" s="4">
        <f>C7*34.92/K7</f>
        <v>29.1</v>
      </c>
      <c r="I7" s="4">
        <f>C7*410.68/K7</f>
        <v>342.23333333333335</v>
      </c>
      <c r="J7" s="4" t="s">
        <v>149</v>
      </c>
      <c r="K7" s="2">
        <v>180</v>
      </c>
      <c r="L7" s="69"/>
      <c r="M7" s="69"/>
      <c r="N7" s="69"/>
      <c r="O7" s="205"/>
    </row>
    <row r="8" spans="1:15" x14ac:dyDescent="0.25">
      <c r="A8" s="3"/>
      <c r="B8" s="206" t="s">
        <v>143</v>
      </c>
      <c r="C8" s="126"/>
      <c r="D8" s="83">
        <f>C7*169.2/K7</f>
        <v>141</v>
      </c>
      <c r="E8" s="207">
        <v>139.5</v>
      </c>
      <c r="F8" s="126"/>
      <c r="G8" s="126"/>
      <c r="H8" s="126"/>
      <c r="I8" s="126"/>
      <c r="J8" s="4" t="s">
        <v>16</v>
      </c>
      <c r="K8" s="2"/>
      <c r="L8" s="208"/>
      <c r="M8" s="70"/>
      <c r="N8" s="70"/>
      <c r="O8" s="69"/>
    </row>
    <row r="9" spans="1:15" x14ac:dyDescent="0.25">
      <c r="A9" s="3"/>
      <c r="B9" s="206" t="s">
        <v>435</v>
      </c>
      <c r="C9" s="126"/>
      <c r="D9" s="76">
        <v>9.6999999999999993</v>
      </c>
      <c r="E9" s="76">
        <v>9.6999999999999993</v>
      </c>
      <c r="F9" s="126"/>
      <c r="G9" s="126"/>
      <c r="H9" s="126"/>
      <c r="I9" s="126"/>
      <c r="J9" s="3"/>
      <c r="K9" s="2"/>
      <c r="L9" s="208"/>
      <c r="M9" s="69"/>
      <c r="N9" s="69"/>
      <c r="O9" s="69"/>
    </row>
    <row r="10" spans="1:15" ht="47.25" x14ac:dyDescent="0.25">
      <c r="A10" s="3"/>
      <c r="B10" s="206" t="s">
        <v>436</v>
      </c>
      <c r="C10" s="126"/>
      <c r="D10" s="76">
        <v>36</v>
      </c>
      <c r="E10" s="76">
        <v>36</v>
      </c>
      <c r="F10" s="126"/>
      <c r="G10" s="126"/>
      <c r="H10" s="126"/>
      <c r="I10" s="126"/>
      <c r="J10" s="3"/>
      <c r="K10" s="2"/>
      <c r="L10" s="208"/>
      <c r="M10" s="69"/>
      <c r="N10" s="69"/>
      <c r="O10" s="69"/>
    </row>
    <row r="11" spans="1:15" x14ac:dyDescent="0.25">
      <c r="A11" s="3"/>
      <c r="B11" s="206" t="s">
        <v>85</v>
      </c>
      <c r="C11" s="126"/>
      <c r="D11" s="76">
        <v>12</v>
      </c>
      <c r="E11" s="76">
        <v>12</v>
      </c>
      <c r="F11" s="126"/>
      <c r="G11" s="126"/>
      <c r="H11" s="126"/>
      <c r="I11" s="126"/>
      <c r="J11" s="3"/>
      <c r="K11" s="2"/>
      <c r="L11" s="208"/>
      <c r="M11" s="69"/>
      <c r="N11" s="69"/>
      <c r="O11" s="69"/>
    </row>
    <row r="12" spans="1:15" x14ac:dyDescent="0.25">
      <c r="A12" s="3"/>
      <c r="B12" s="206" t="s">
        <v>145</v>
      </c>
      <c r="C12" s="126"/>
      <c r="D12" s="76" t="s">
        <v>437</v>
      </c>
      <c r="E12" s="76">
        <f>C7*5.4/K7</f>
        <v>4.5</v>
      </c>
      <c r="F12" s="126"/>
      <c r="G12" s="126"/>
      <c r="H12" s="126"/>
      <c r="I12" s="126"/>
      <c r="J12" s="3"/>
      <c r="K12" s="2"/>
      <c r="L12" s="208"/>
      <c r="M12" s="69"/>
      <c r="N12" s="69"/>
      <c r="O12" s="69"/>
    </row>
    <row r="13" spans="1:15" x14ac:dyDescent="0.25">
      <c r="A13" s="3"/>
      <c r="B13" s="206" t="s">
        <v>39</v>
      </c>
      <c r="C13" s="126"/>
      <c r="D13" s="76">
        <v>9.6999999999999993</v>
      </c>
      <c r="E13" s="76">
        <v>9.6999999999999993</v>
      </c>
      <c r="F13" s="126"/>
      <c r="G13" s="126"/>
      <c r="H13" s="126"/>
      <c r="I13" s="126"/>
      <c r="J13" s="3"/>
      <c r="K13" s="2"/>
      <c r="L13" s="208"/>
      <c r="M13" s="69"/>
      <c r="N13" s="69"/>
      <c r="O13" s="69"/>
    </row>
    <row r="14" spans="1:15" x14ac:dyDescent="0.25">
      <c r="A14" s="3"/>
      <c r="B14" s="206" t="s">
        <v>146</v>
      </c>
      <c r="C14" s="126"/>
      <c r="D14" s="209">
        <v>1.4999999999999999E-2</v>
      </c>
      <c r="E14" s="209">
        <f>$C$7*0.018/$K$7</f>
        <v>1.4999999999999998E-2</v>
      </c>
      <c r="F14" s="126"/>
      <c r="G14" s="126"/>
      <c r="H14" s="126"/>
      <c r="I14" s="126"/>
      <c r="J14" s="3"/>
      <c r="K14" s="2"/>
      <c r="L14" s="208"/>
      <c r="M14" s="69"/>
      <c r="N14" s="69"/>
      <c r="O14" s="69"/>
    </row>
    <row r="15" spans="1:15" x14ac:dyDescent="0.25">
      <c r="A15" s="3"/>
      <c r="B15" s="206" t="s">
        <v>91</v>
      </c>
      <c r="C15" s="126"/>
      <c r="D15" s="76">
        <v>5.2</v>
      </c>
      <c r="E15" s="76">
        <v>5.2</v>
      </c>
      <c r="F15" s="126"/>
      <c r="G15" s="126"/>
      <c r="H15" s="126"/>
      <c r="I15" s="126"/>
      <c r="J15" s="3"/>
      <c r="K15" s="2"/>
      <c r="L15" s="208"/>
      <c r="M15" s="69"/>
      <c r="N15" s="69"/>
      <c r="O15" s="69"/>
    </row>
    <row r="16" spans="1:15" x14ac:dyDescent="0.25">
      <c r="A16" s="3"/>
      <c r="B16" s="206" t="s">
        <v>147</v>
      </c>
      <c r="C16" s="126"/>
      <c r="D16" s="76">
        <v>5.2</v>
      </c>
      <c r="E16" s="76">
        <v>5.2</v>
      </c>
      <c r="F16" s="126"/>
      <c r="G16" s="126"/>
      <c r="H16" s="126"/>
      <c r="I16" s="126"/>
      <c r="J16" s="3"/>
      <c r="K16" s="2"/>
      <c r="L16" s="208"/>
      <c r="M16" s="69"/>
      <c r="N16" s="69"/>
      <c r="O16" s="69"/>
    </row>
    <row r="17" spans="1:18" x14ac:dyDescent="0.25">
      <c r="A17" s="3"/>
      <c r="B17" s="206" t="s">
        <v>105</v>
      </c>
      <c r="C17" s="126"/>
      <c r="D17" s="76">
        <v>5.2</v>
      </c>
      <c r="E17" s="76">
        <v>5.2</v>
      </c>
      <c r="F17" s="126"/>
      <c r="G17" s="126"/>
      <c r="H17" s="126"/>
      <c r="I17" s="126"/>
      <c r="J17" s="3"/>
      <c r="K17" s="2"/>
      <c r="L17" s="208"/>
      <c r="M17" s="69"/>
      <c r="N17" s="69"/>
      <c r="O17" s="69"/>
    </row>
    <row r="18" spans="1:18" ht="31.5" x14ac:dyDescent="0.25">
      <c r="A18" s="3"/>
      <c r="B18" s="210" t="s">
        <v>148</v>
      </c>
      <c r="C18" s="168">
        <v>15</v>
      </c>
      <c r="D18" s="178">
        <f>C18</f>
        <v>15</v>
      </c>
      <c r="E18" s="178">
        <f>C18</f>
        <v>15</v>
      </c>
      <c r="F18" s="129">
        <f>C18*1.44/K18</f>
        <v>1.0799999999999998</v>
      </c>
      <c r="G18" s="129">
        <f>C18*1.7/K18</f>
        <v>1.2749999999999999</v>
      </c>
      <c r="H18" s="129">
        <f>C18*11.2/K18</f>
        <v>8.4</v>
      </c>
      <c r="I18" s="129">
        <f>C18*64/K18</f>
        <v>48</v>
      </c>
      <c r="J18" s="3"/>
      <c r="K18" s="2">
        <v>20</v>
      </c>
      <c r="L18" s="69"/>
      <c r="M18" s="69"/>
      <c r="N18" s="69"/>
      <c r="O18" s="205"/>
    </row>
    <row r="19" spans="1:18" x14ac:dyDescent="0.25">
      <c r="A19" s="3"/>
      <c r="B19" s="204" t="s">
        <v>151</v>
      </c>
      <c r="C19" s="129">
        <v>180</v>
      </c>
      <c r="D19" s="76"/>
      <c r="E19" s="76"/>
      <c r="F19" s="129">
        <v>5.0199999999999996</v>
      </c>
      <c r="G19" s="129">
        <f>C19*6.38/K19</f>
        <v>5.7420000000000009</v>
      </c>
      <c r="H19" s="129">
        <f>C19*9.38/K19</f>
        <v>8.4420000000000002</v>
      </c>
      <c r="I19" s="129">
        <f>C19*117.31/K19</f>
        <v>105.57899999999999</v>
      </c>
      <c r="J19" s="4" t="s">
        <v>276</v>
      </c>
      <c r="K19" s="2">
        <v>200</v>
      </c>
      <c r="L19" s="69"/>
      <c r="M19" s="69"/>
      <c r="N19" s="69"/>
      <c r="O19" s="205"/>
    </row>
    <row r="20" spans="1:18" x14ac:dyDescent="0.25">
      <c r="A20" s="3"/>
      <c r="B20" s="134" t="s">
        <v>26</v>
      </c>
      <c r="C20" s="47"/>
      <c r="D20" s="211">
        <f>C19*210/K19</f>
        <v>189</v>
      </c>
      <c r="E20" s="211">
        <f>C19</f>
        <v>180</v>
      </c>
      <c r="F20" s="129"/>
      <c r="G20" s="129"/>
      <c r="H20" s="129"/>
      <c r="I20" s="129"/>
      <c r="J20" s="212" t="s">
        <v>16</v>
      </c>
      <c r="K20" s="69"/>
      <c r="L20" s="69"/>
      <c r="M20" s="69"/>
      <c r="N20" s="69"/>
      <c r="O20" s="205"/>
      <c r="P20" s="205"/>
      <c r="Q20" s="205"/>
      <c r="R20" s="205"/>
    </row>
    <row r="21" spans="1:18" x14ac:dyDescent="0.25">
      <c r="A21" s="3"/>
      <c r="B21" s="213"/>
      <c r="C21" s="47"/>
      <c r="D21" s="211"/>
      <c r="E21" s="211"/>
      <c r="F21" s="129"/>
      <c r="G21" s="129"/>
      <c r="H21" s="129"/>
      <c r="I21" s="129"/>
      <c r="J21" s="63"/>
      <c r="K21" s="214"/>
      <c r="L21" s="102"/>
      <c r="M21" s="215"/>
      <c r="N21" s="215"/>
      <c r="O21" s="138"/>
      <c r="P21" s="138"/>
      <c r="Q21" s="138"/>
      <c r="R21" s="138"/>
    </row>
    <row r="22" spans="1:18" x14ac:dyDescent="0.25">
      <c r="A22" s="3"/>
      <c r="B22" s="97" t="s">
        <v>28</v>
      </c>
      <c r="C22" s="129">
        <v>10</v>
      </c>
      <c r="D22" s="130">
        <v>10</v>
      </c>
      <c r="E22" s="130">
        <v>10</v>
      </c>
      <c r="F22" s="126">
        <v>0.76</v>
      </c>
      <c r="G22" s="126">
        <v>0.09</v>
      </c>
      <c r="H22" s="126">
        <v>4.67</v>
      </c>
      <c r="I22" s="126">
        <v>23.1</v>
      </c>
      <c r="J22" s="3"/>
      <c r="K22" s="72">
        <v>20</v>
      </c>
      <c r="L22" s="69"/>
      <c r="M22" s="69"/>
      <c r="N22" s="69"/>
      <c r="O22" s="205"/>
      <c r="P22" s="205"/>
      <c r="Q22" s="205"/>
      <c r="R22" s="205"/>
    </row>
    <row r="23" spans="1:18" x14ac:dyDescent="0.25">
      <c r="A23" s="3"/>
      <c r="B23" s="125" t="s">
        <v>84</v>
      </c>
      <c r="C23" s="129">
        <v>10</v>
      </c>
      <c r="D23" s="130">
        <f>C23</f>
        <v>10</v>
      </c>
      <c r="E23" s="130">
        <f>C23</f>
        <v>10</v>
      </c>
      <c r="F23" s="129">
        <f>C23*1.54/K23</f>
        <v>0.77</v>
      </c>
      <c r="G23" s="129">
        <f>C23*0.28/K23</f>
        <v>0.14000000000000001</v>
      </c>
      <c r="H23" s="129">
        <f>C23*7.52/K23</f>
        <v>3.7599999999999993</v>
      </c>
      <c r="I23" s="129">
        <f>C23*40.2/K23</f>
        <v>20.100000000000001</v>
      </c>
      <c r="J23" s="3"/>
      <c r="K23" s="72">
        <v>20</v>
      </c>
      <c r="L23" s="2"/>
      <c r="M23" s="2"/>
      <c r="N23" s="2"/>
    </row>
    <row r="24" spans="1:18" x14ac:dyDescent="0.25">
      <c r="A24" s="5" t="s">
        <v>30</v>
      </c>
      <c r="B24" s="6"/>
      <c r="C24" s="8">
        <f>SUM(C7:C23)</f>
        <v>365</v>
      </c>
      <c r="D24" s="77"/>
      <c r="E24" s="77"/>
      <c r="F24" s="8">
        <f>SUM(F7:F23)</f>
        <v>36.83</v>
      </c>
      <c r="G24" s="8">
        <f>SUM(G7:G23)</f>
        <v>19.347000000000001</v>
      </c>
      <c r="H24" s="8">
        <f>SUM(H7:H23)</f>
        <v>54.372</v>
      </c>
      <c r="I24" s="8">
        <f>SUM(I7:I23)</f>
        <v>539.01233333333334</v>
      </c>
      <c r="J24" s="6"/>
      <c r="K24" s="2"/>
      <c r="L24" s="2"/>
      <c r="M24" s="2"/>
      <c r="N24" s="2"/>
    </row>
    <row r="25" spans="1:18" x14ac:dyDescent="0.25">
      <c r="A25" s="4" t="s">
        <v>31</v>
      </c>
      <c r="B25" s="97" t="s">
        <v>432</v>
      </c>
      <c r="C25" s="126">
        <v>100</v>
      </c>
      <c r="D25" s="122">
        <v>167</v>
      </c>
      <c r="E25" s="122">
        <f>C25</f>
        <v>100</v>
      </c>
      <c r="F25" s="126">
        <f>C25*1.5/K25</f>
        <v>1.5</v>
      </c>
      <c r="G25" s="126">
        <f>C25*0.5/K25</f>
        <v>0.5</v>
      </c>
      <c r="H25" s="126">
        <v>21</v>
      </c>
      <c r="I25" s="126">
        <f>C25*95/K25</f>
        <v>95</v>
      </c>
      <c r="J25" s="3"/>
      <c r="K25" s="72">
        <v>100</v>
      </c>
      <c r="L25" s="2"/>
      <c r="M25" s="2"/>
      <c r="N25" s="2"/>
    </row>
    <row r="26" spans="1:18" ht="31.5" x14ac:dyDescent="0.25">
      <c r="A26" s="9" t="s">
        <v>32</v>
      </c>
      <c r="B26" s="6"/>
      <c r="C26" s="8">
        <f>SUM(C25)</f>
        <v>100</v>
      </c>
      <c r="D26" s="77"/>
      <c r="E26" s="77"/>
      <c r="F26" s="8">
        <f>SUM(F25)</f>
        <v>1.5</v>
      </c>
      <c r="G26" s="8">
        <f>SUM(G25)</f>
        <v>0.5</v>
      </c>
      <c r="H26" s="8">
        <f>SUM(H25)</f>
        <v>21</v>
      </c>
      <c r="I26" s="8">
        <f>SUM(I25)</f>
        <v>95</v>
      </c>
      <c r="J26" s="6"/>
      <c r="K26" s="2"/>
      <c r="L26" s="2"/>
      <c r="M26" s="2"/>
      <c r="N26" s="2"/>
    </row>
    <row r="27" spans="1:18" ht="31.5" x14ac:dyDescent="0.25">
      <c r="A27" s="4" t="s">
        <v>33</v>
      </c>
      <c r="B27" s="125" t="s">
        <v>154</v>
      </c>
      <c r="C27" s="129">
        <v>40</v>
      </c>
      <c r="D27" s="76"/>
      <c r="E27" s="76"/>
      <c r="F27" s="4">
        <v>0.76</v>
      </c>
      <c r="G27" s="4">
        <v>3.04</v>
      </c>
      <c r="H27" s="4">
        <v>4.5199999999999996</v>
      </c>
      <c r="I27" s="4">
        <v>48.84</v>
      </c>
      <c r="J27" s="4" t="s">
        <v>155</v>
      </c>
      <c r="K27" s="2">
        <v>60</v>
      </c>
      <c r="L27" s="2"/>
      <c r="M27" s="2"/>
      <c r="N27" s="2"/>
    </row>
    <row r="28" spans="1:18" x14ac:dyDescent="0.25">
      <c r="A28" s="3"/>
      <c r="B28" s="139" t="s">
        <v>61</v>
      </c>
      <c r="C28" s="129"/>
      <c r="D28" s="140">
        <f>C27*45/K27</f>
        <v>30</v>
      </c>
      <c r="E28" s="140">
        <f>C27*36/K27</f>
        <v>24</v>
      </c>
      <c r="F28" s="4"/>
      <c r="G28" s="4"/>
      <c r="H28" s="4"/>
      <c r="I28" s="4"/>
      <c r="J28" s="4" t="s">
        <v>42</v>
      </c>
      <c r="K28" s="2"/>
      <c r="L28" s="2"/>
      <c r="M28" s="2"/>
      <c r="N28" s="2"/>
    </row>
    <row r="29" spans="1:18" x14ac:dyDescent="0.25">
      <c r="A29" s="3"/>
      <c r="B29" s="145" t="s">
        <v>62</v>
      </c>
      <c r="C29" s="129"/>
      <c r="D29" s="140">
        <f>C27*10.72/K27</f>
        <v>7.1466666666666665</v>
      </c>
      <c r="E29" s="140">
        <f>C27*9/K27</f>
        <v>6</v>
      </c>
      <c r="F29" s="4"/>
      <c r="G29" s="4"/>
      <c r="H29" s="4"/>
      <c r="I29" s="4"/>
      <c r="J29" s="3"/>
      <c r="K29" s="2"/>
      <c r="L29" s="2"/>
      <c r="M29" s="2"/>
      <c r="N29" s="2"/>
    </row>
    <row r="30" spans="1:18" ht="31.5" x14ac:dyDescent="0.25">
      <c r="A30" s="3"/>
      <c r="B30" s="145" t="s">
        <v>36</v>
      </c>
      <c r="C30" s="129"/>
      <c r="D30" s="140">
        <f>C27*3.6/K27</f>
        <v>2.4</v>
      </c>
      <c r="E30" s="140">
        <f>$C$27*3.6/K27</f>
        <v>2.4</v>
      </c>
      <c r="F30" s="4"/>
      <c r="G30" s="4"/>
      <c r="H30" s="4"/>
      <c r="I30" s="4"/>
      <c r="J30" s="3"/>
      <c r="K30" s="2"/>
      <c r="L30" s="2"/>
      <c r="M30" s="2"/>
      <c r="N30" s="2"/>
    </row>
    <row r="31" spans="1:18" x14ac:dyDescent="0.25">
      <c r="A31" s="3"/>
      <c r="B31" s="145" t="s">
        <v>37</v>
      </c>
      <c r="C31" s="129"/>
      <c r="D31" s="140">
        <f>$C$27*6/$K$27</f>
        <v>4</v>
      </c>
      <c r="E31" s="140">
        <f>$C$27*6/$K$27</f>
        <v>4</v>
      </c>
      <c r="F31" s="4"/>
      <c r="G31" s="4"/>
      <c r="H31" s="4"/>
      <c r="I31" s="4"/>
      <c r="J31" s="3"/>
      <c r="K31" s="2"/>
      <c r="L31" s="2"/>
      <c r="M31" s="2"/>
      <c r="N31" s="2"/>
    </row>
    <row r="32" spans="1:18" ht="16.5" customHeight="1" x14ac:dyDescent="0.25">
      <c r="A32" s="3"/>
      <c r="B32" s="139" t="s">
        <v>39</v>
      </c>
      <c r="C32" s="129"/>
      <c r="D32" s="140">
        <f>$C$27*1.5/$K$27</f>
        <v>1</v>
      </c>
      <c r="E32" s="140">
        <f>$C$27*1.5/$K$27</f>
        <v>1</v>
      </c>
      <c r="F32" s="4"/>
      <c r="G32" s="4"/>
      <c r="H32" s="4"/>
      <c r="I32" s="4"/>
      <c r="J32" s="3"/>
      <c r="K32" s="2"/>
      <c r="L32" s="2"/>
      <c r="M32" s="2"/>
      <c r="N32" s="2"/>
    </row>
    <row r="33" spans="1:14" ht="16.5" customHeight="1" x14ac:dyDescent="0.25">
      <c r="A33" s="3"/>
      <c r="B33" s="139" t="s">
        <v>152</v>
      </c>
      <c r="C33" s="129"/>
      <c r="D33" s="140">
        <f>$C$27*0.54/$K$27</f>
        <v>0.36000000000000004</v>
      </c>
      <c r="E33" s="140">
        <f>$C$27*0.54/$K$27</f>
        <v>0.36000000000000004</v>
      </c>
      <c r="F33" s="4"/>
      <c r="G33" s="4"/>
      <c r="H33" s="4"/>
      <c r="I33" s="4"/>
      <c r="J33" s="3"/>
      <c r="K33" s="2"/>
      <c r="L33" s="2"/>
      <c r="M33" s="2"/>
      <c r="N33" s="2"/>
    </row>
    <row r="34" spans="1:14" x14ac:dyDescent="0.25">
      <c r="A34" s="3"/>
      <c r="B34" s="139" t="s">
        <v>153</v>
      </c>
      <c r="C34" s="129"/>
      <c r="D34" s="140">
        <f>$C$27*7.2/$K$27</f>
        <v>4.8</v>
      </c>
      <c r="E34" s="140">
        <f>$C$27*7.2/$K$27</f>
        <v>4.8</v>
      </c>
      <c r="F34" s="4"/>
      <c r="G34" s="4"/>
      <c r="H34" s="4"/>
      <c r="I34" s="4"/>
      <c r="J34" s="3"/>
      <c r="K34" s="2"/>
      <c r="L34" s="2"/>
      <c r="M34" s="2"/>
      <c r="N34" s="2"/>
    </row>
    <row r="35" spans="1:14" x14ac:dyDescent="0.25">
      <c r="A35" s="3"/>
      <c r="B35" s="139" t="s">
        <v>20</v>
      </c>
      <c r="C35" s="129"/>
      <c r="D35" s="140">
        <f>$C$27*0.6/$K$27</f>
        <v>0.4</v>
      </c>
      <c r="E35" s="180">
        <f>$C$27*0.6/$K$27</f>
        <v>0.4</v>
      </c>
      <c r="F35" s="46"/>
      <c r="G35" s="46"/>
      <c r="H35" s="46"/>
      <c r="I35" s="46"/>
      <c r="J35" s="66"/>
      <c r="K35" s="2"/>
      <c r="L35" s="2"/>
      <c r="M35" s="2"/>
      <c r="N35" s="2"/>
    </row>
    <row r="36" spans="1:14" x14ac:dyDescent="0.25">
      <c r="A36" s="3"/>
      <c r="B36" s="15" t="s">
        <v>162</v>
      </c>
      <c r="C36" s="129">
        <v>165</v>
      </c>
      <c r="D36" s="76"/>
      <c r="E36" s="83"/>
      <c r="F36" s="105">
        <v>3.81</v>
      </c>
      <c r="G36" s="105">
        <v>5.18</v>
      </c>
      <c r="H36" s="105">
        <v>7.85</v>
      </c>
      <c r="I36" s="105">
        <v>95.51</v>
      </c>
      <c r="J36" s="46" t="s">
        <v>161</v>
      </c>
      <c r="K36" s="2">
        <v>200</v>
      </c>
      <c r="L36" s="2"/>
      <c r="M36" s="2"/>
      <c r="N36" s="2"/>
    </row>
    <row r="37" spans="1:14" x14ac:dyDescent="0.25">
      <c r="A37" s="3"/>
      <c r="B37" s="147" t="s">
        <v>156</v>
      </c>
      <c r="C37" s="130"/>
      <c r="D37" s="76">
        <f>E39*20.8/K39</f>
        <v>17.333333333333332</v>
      </c>
      <c r="E37" s="83">
        <v>16</v>
      </c>
      <c r="F37" s="46"/>
      <c r="G37" s="46"/>
      <c r="H37" s="46"/>
      <c r="I37" s="46"/>
      <c r="J37" s="46" t="s">
        <v>16</v>
      </c>
      <c r="K37" s="2"/>
      <c r="L37" s="2"/>
      <c r="M37" s="2"/>
      <c r="N37" s="2"/>
    </row>
    <row r="38" spans="1:14" x14ac:dyDescent="0.25">
      <c r="A38" s="3"/>
      <c r="B38" s="147" t="s">
        <v>27</v>
      </c>
      <c r="C38" s="130"/>
      <c r="D38" s="76">
        <v>157</v>
      </c>
      <c r="E38" s="76">
        <v>157</v>
      </c>
      <c r="F38" s="4"/>
      <c r="G38" s="4"/>
      <c r="H38" s="4"/>
      <c r="I38" s="4"/>
      <c r="J38" s="3"/>
      <c r="K38" s="2"/>
      <c r="L38" s="2"/>
      <c r="M38" s="2"/>
      <c r="N38" s="2"/>
    </row>
    <row r="39" spans="1:14" x14ac:dyDescent="0.25">
      <c r="A39" s="3"/>
      <c r="B39" s="147" t="s">
        <v>44</v>
      </c>
      <c r="C39" s="130"/>
      <c r="D39" s="76"/>
      <c r="E39" s="76">
        <v>10</v>
      </c>
      <c r="F39" s="4"/>
      <c r="G39" s="4"/>
      <c r="H39" s="4"/>
      <c r="I39" s="4"/>
      <c r="J39" s="3"/>
      <c r="K39" s="72">
        <v>12</v>
      </c>
      <c r="L39" s="2"/>
      <c r="M39" s="2"/>
      <c r="N39" s="2"/>
    </row>
    <row r="40" spans="1:14" ht="31.5" x14ac:dyDescent="0.25">
      <c r="A40" s="3"/>
      <c r="B40" s="147" t="s">
        <v>45</v>
      </c>
      <c r="C40" s="130"/>
      <c r="D40" s="76"/>
      <c r="E40" s="76">
        <v>124</v>
      </c>
      <c r="F40" s="4"/>
      <c r="G40" s="4"/>
      <c r="H40" s="4"/>
      <c r="I40" s="4"/>
      <c r="J40" s="3"/>
      <c r="K40" s="2"/>
      <c r="L40" s="2"/>
      <c r="M40" s="2"/>
      <c r="N40" s="2"/>
    </row>
    <row r="41" spans="1:14" x14ac:dyDescent="0.25">
      <c r="A41" s="3"/>
      <c r="B41" s="3" t="s">
        <v>157</v>
      </c>
      <c r="C41" s="148">
        <v>150</v>
      </c>
      <c r="D41" s="76">
        <v>15</v>
      </c>
      <c r="E41" s="76">
        <v>12</v>
      </c>
      <c r="F41" s="4"/>
      <c r="G41" s="4"/>
      <c r="H41" s="4"/>
      <c r="I41" s="4"/>
      <c r="J41" s="3"/>
      <c r="K41" s="2">
        <v>182</v>
      </c>
      <c r="L41" s="2"/>
      <c r="M41" s="2"/>
      <c r="N41" s="2"/>
    </row>
    <row r="42" spans="1:14" x14ac:dyDescent="0.25">
      <c r="A42" s="3"/>
      <c r="B42" s="3" t="s">
        <v>47</v>
      </c>
      <c r="C42" s="130"/>
      <c r="D42" s="76">
        <v>40</v>
      </c>
      <c r="E42" s="76">
        <v>30</v>
      </c>
      <c r="F42" s="4"/>
      <c r="G42" s="4"/>
      <c r="H42" s="4"/>
      <c r="I42" s="4"/>
      <c r="J42" s="3"/>
      <c r="K42" s="2"/>
      <c r="L42" s="2"/>
      <c r="M42" s="2"/>
      <c r="N42" s="2"/>
    </row>
    <row r="43" spans="1:14" x14ac:dyDescent="0.25">
      <c r="A43" s="3"/>
      <c r="B43" s="3" t="s">
        <v>48</v>
      </c>
      <c r="C43" s="130"/>
      <c r="D43" s="76">
        <v>7.5</v>
      </c>
      <c r="E43" s="76">
        <v>6</v>
      </c>
      <c r="F43" s="4"/>
      <c r="G43" s="4"/>
      <c r="H43" s="4"/>
      <c r="I43" s="4"/>
      <c r="J43" s="3"/>
      <c r="K43" s="2"/>
      <c r="L43" s="2"/>
      <c r="M43" s="2"/>
      <c r="N43" s="2"/>
    </row>
    <row r="44" spans="1:14" x14ac:dyDescent="0.25">
      <c r="A44" s="3"/>
      <c r="B44" s="3" t="s">
        <v>49</v>
      </c>
      <c r="C44" s="130"/>
      <c r="D44" s="76">
        <v>7.2</v>
      </c>
      <c r="E44" s="76">
        <v>6</v>
      </c>
      <c r="F44" s="4"/>
      <c r="G44" s="4"/>
      <c r="H44" s="4"/>
      <c r="I44" s="4"/>
      <c r="J44" s="3"/>
      <c r="K44" s="2"/>
      <c r="L44" s="2"/>
      <c r="M44" s="2"/>
      <c r="N44" s="2"/>
    </row>
    <row r="45" spans="1:14" x14ac:dyDescent="0.25">
      <c r="A45" s="3"/>
      <c r="B45" s="3" t="s">
        <v>22</v>
      </c>
      <c r="C45" s="130"/>
      <c r="D45" s="76">
        <f>$C$41*3.63636363636364/$K$41</f>
        <v>2.9970029970029999</v>
      </c>
      <c r="E45" s="76">
        <f>$C$41*3.63636363636364/$K$41</f>
        <v>2.9970029970029999</v>
      </c>
      <c r="F45" s="4"/>
      <c r="G45" s="4"/>
      <c r="H45" s="4"/>
      <c r="I45" s="4"/>
      <c r="J45" s="3"/>
      <c r="K45" s="2"/>
      <c r="L45" s="2"/>
      <c r="M45" s="2"/>
      <c r="N45" s="2"/>
    </row>
    <row r="46" spans="1:14" x14ac:dyDescent="0.25">
      <c r="A46" s="3"/>
      <c r="B46" s="3" t="s">
        <v>158</v>
      </c>
      <c r="C46" s="130"/>
      <c r="D46" s="76">
        <v>6.9</v>
      </c>
      <c r="E46" s="76">
        <f>C41*5.45454545454545/K41</f>
        <v>4.4955044955044912</v>
      </c>
      <c r="F46" s="4"/>
      <c r="G46" s="4"/>
      <c r="H46" s="4"/>
      <c r="I46" s="4"/>
      <c r="J46" s="3"/>
      <c r="K46" s="2"/>
      <c r="L46" s="2"/>
      <c r="M46" s="2"/>
      <c r="N46" s="2"/>
    </row>
    <row r="47" spans="1:14" x14ac:dyDescent="0.25">
      <c r="A47" s="3"/>
      <c r="B47" s="3" t="s">
        <v>159</v>
      </c>
      <c r="C47" s="130"/>
      <c r="D47" s="76">
        <f>C41*1.35/K41</f>
        <v>1.1126373626373627</v>
      </c>
      <c r="E47" s="76">
        <f>C41*1/K41</f>
        <v>0.82417582417582413</v>
      </c>
      <c r="F47" s="4"/>
      <c r="G47" s="4"/>
      <c r="H47" s="4"/>
      <c r="I47" s="4"/>
      <c r="J47" s="3"/>
      <c r="K47" s="2"/>
      <c r="L47" s="2"/>
      <c r="M47" s="2"/>
      <c r="N47" s="2"/>
    </row>
    <row r="48" spans="1:14" x14ac:dyDescent="0.25">
      <c r="A48" s="3"/>
      <c r="B48" s="3" t="s">
        <v>160</v>
      </c>
      <c r="C48" s="130"/>
      <c r="D48" s="76">
        <v>5</v>
      </c>
      <c r="E48" s="76">
        <v>5</v>
      </c>
      <c r="F48" s="4"/>
      <c r="G48" s="4"/>
      <c r="H48" s="4"/>
      <c r="I48" s="4"/>
      <c r="J48" s="3"/>
      <c r="K48" s="2"/>
      <c r="L48" s="2"/>
      <c r="M48" s="2"/>
      <c r="N48" s="2"/>
    </row>
    <row r="49" spans="1:14" x14ac:dyDescent="0.25">
      <c r="A49" s="3"/>
      <c r="B49" s="3" t="s">
        <v>20</v>
      </c>
      <c r="C49" s="130"/>
      <c r="D49" s="76">
        <v>0.5</v>
      </c>
      <c r="E49" s="76">
        <v>0.5</v>
      </c>
      <c r="F49" s="4"/>
      <c r="G49" s="4"/>
      <c r="H49" s="4"/>
      <c r="I49" s="4"/>
      <c r="J49" s="3"/>
      <c r="K49" s="2"/>
      <c r="L49" s="2"/>
      <c r="M49" s="2"/>
      <c r="N49" s="2"/>
    </row>
    <row r="50" spans="1:14" ht="31.5" x14ac:dyDescent="0.25">
      <c r="A50" s="3"/>
      <c r="B50" s="163" t="s">
        <v>384</v>
      </c>
      <c r="C50" s="126">
        <v>60</v>
      </c>
      <c r="D50" s="127"/>
      <c r="E50" s="127"/>
      <c r="F50" s="126">
        <f>C50*16.96/K50</f>
        <v>12.72</v>
      </c>
      <c r="G50" s="126">
        <f>C50*21.05/K50</f>
        <v>15.7875</v>
      </c>
      <c r="H50" s="126">
        <f>C50*3.42/K50</f>
        <v>2.5649999999999999</v>
      </c>
      <c r="I50" s="126">
        <f>C50*269.2/K50</f>
        <v>201.9</v>
      </c>
      <c r="J50" s="4" t="s">
        <v>168</v>
      </c>
      <c r="K50" s="2">
        <v>80</v>
      </c>
      <c r="L50" s="2"/>
      <c r="M50" s="2"/>
      <c r="N50" s="2"/>
    </row>
    <row r="51" spans="1:14" x14ac:dyDescent="0.25">
      <c r="A51" s="3"/>
      <c r="B51" s="216" t="s">
        <v>165</v>
      </c>
      <c r="C51" s="64"/>
      <c r="D51" s="127">
        <f>C50*88.5/K50</f>
        <v>66.375</v>
      </c>
      <c r="E51" s="127">
        <f>C50*73.6/K50</f>
        <v>55.2</v>
      </c>
      <c r="F51" s="64"/>
      <c r="G51" s="64"/>
      <c r="H51" s="64"/>
      <c r="I51" s="64"/>
      <c r="J51" s="4" t="s">
        <v>16</v>
      </c>
      <c r="K51" s="2"/>
      <c r="L51" s="2"/>
      <c r="M51" s="2"/>
      <c r="N51" s="2"/>
    </row>
    <row r="52" spans="1:14" x14ac:dyDescent="0.25">
      <c r="A52" s="3"/>
      <c r="B52" s="66" t="s">
        <v>50</v>
      </c>
      <c r="C52" s="64"/>
      <c r="D52" s="127">
        <f>$C$50*6/$K$50</f>
        <v>4.5</v>
      </c>
      <c r="E52" s="127">
        <f>$C$50*6/$K$50</f>
        <v>4.5</v>
      </c>
      <c r="F52" s="64"/>
      <c r="G52" s="64"/>
      <c r="H52" s="64"/>
      <c r="I52" s="64"/>
      <c r="J52" s="3"/>
      <c r="K52" s="2"/>
      <c r="L52" s="2"/>
      <c r="M52" s="2"/>
      <c r="N52" s="2"/>
    </row>
    <row r="53" spans="1:14" x14ac:dyDescent="0.25">
      <c r="A53" s="3"/>
      <c r="B53" s="216" t="s">
        <v>166</v>
      </c>
      <c r="C53" s="64"/>
      <c r="D53" s="127" t="s">
        <v>173</v>
      </c>
      <c r="E53" s="127">
        <f>C50*50/K50</f>
        <v>37.5</v>
      </c>
      <c r="F53" s="64"/>
      <c r="G53" s="64"/>
      <c r="H53" s="64"/>
      <c r="I53" s="64"/>
      <c r="J53" s="3"/>
      <c r="K53" s="2"/>
      <c r="L53" s="2"/>
      <c r="M53" s="2"/>
      <c r="N53" s="2"/>
    </row>
    <row r="54" spans="1:14" x14ac:dyDescent="0.25">
      <c r="A54" s="3"/>
      <c r="B54" s="217" t="s">
        <v>167</v>
      </c>
      <c r="C54" s="64"/>
      <c r="D54" s="127" t="s">
        <v>173</v>
      </c>
      <c r="E54" s="127">
        <f>C50*30/K50</f>
        <v>22.5</v>
      </c>
      <c r="F54" s="64"/>
      <c r="G54" s="64"/>
      <c r="H54" s="64"/>
      <c r="I54" s="64"/>
      <c r="J54" s="3"/>
      <c r="K54" s="2"/>
      <c r="L54" s="2"/>
      <c r="M54" s="2"/>
      <c r="N54" s="2"/>
    </row>
    <row r="55" spans="1:14" x14ac:dyDescent="0.25">
      <c r="A55" s="3"/>
      <c r="B55" s="216" t="s">
        <v>56</v>
      </c>
      <c r="C55" s="64"/>
      <c r="D55" s="127">
        <f>$C$50*0.75/$K$50</f>
        <v>0.5625</v>
      </c>
      <c r="E55" s="127">
        <f>$C$50*0.75/$K$50</f>
        <v>0.5625</v>
      </c>
      <c r="F55" s="64"/>
      <c r="G55" s="64"/>
      <c r="H55" s="64"/>
      <c r="I55" s="64"/>
      <c r="J55" s="3"/>
      <c r="K55" s="2"/>
      <c r="L55" s="2"/>
      <c r="M55" s="2"/>
      <c r="N55" s="2"/>
    </row>
    <row r="56" spans="1:14" x14ac:dyDescent="0.25">
      <c r="A56" s="3"/>
      <c r="B56" s="216" t="s">
        <v>22</v>
      </c>
      <c r="C56" s="64"/>
      <c r="D56" s="127">
        <f>$C$50*0.75/$K$50</f>
        <v>0.5625</v>
      </c>
      <c r="E56" s="127">
        <f>$C$50*0.75/$K$50</f>
        <v>0.5625</v>
      </c>
      <c r="F56" s="64"/>
      <c r="G56" s="64"/>
      <c r="H56" s="64"/>
      <c r="I56" s="64"/>
      <c r="J56" s="3"/>
      <c r="K56" s="2"/>
      <c r="L56" s="2"/>
      <c r="M56" s="2"/>
      <c r="N56" s="2"/>
    </row>
    <row r="57" spans="1:14" x14ac:dyDescent="0.25">
      <c r="A57" s="3"/>
      <c r="B57" s="216" t="s">
        <v>27</v>
      </c>
      <c r="C57" s="64"/>
      <c r="D57" s="127">
        <f>$C$50*16.5/$K$50</f>
        <v>12.375</v>
      </c>
      <c r="E57" s="127">
        <f>$C$50*16.5/$K$50</f>
        <v>12.375</v>
      </c>
      <c r="F57" s="64"/>
      <c r="G57" s="64"/>
      <c r="H57" s="64"/>
      <c r="I57" s="64"/>
      <c r="J57" s="3"/>
      <c r="K57" s="2"/>
      <c r="L57" s="2"/>
      <c r="M57" s="2"/>
      <c r="N57" s="2"/>
    </row>
    <row r="58" spans="1:14" x14ac:dyDescent="0.25">
      <c r="A58" s="3"/>
      <c r="B58" s="216" t="s">
        <v>58</v>
      </c>
      <c r="C58" s="64"/>
      <c r="D58" s="127" t="s">
        <v>173</v>
      </c>
      <c r="E58" s="127">
        <f>$C$50*15/$K$50</f>
        <v>11.25</v>
      </c>
      <c r="F58" s="64"/>
      <c r="G58" s="64"/>
      <c r="H58" s="64"/>
      <c r="I58" s="64"/>
      <c r="J58" s="3"/>
      <c r="K58" s="2"/>
      <c r="L58" s="2"/>
      <c r="M58" s="2"/>
      <c r="N58" s="2"/>
    </row>
    <row r="59" spans="1:14" x14ac:dyDescent="0.25">
      <c r="A59" s="3"/>
      <c r="B59" s="216" t="s">
        <v>160</v>
      </c>
      <c r="C59" s="64"/>
      <c r="D59" s="127">
        <f>$C$50*15/$K$50</f>
        <v>11.25</v>
      </c>
      <c r="E59" s="127">
        <f>$C$50*15/$K$50</f>
        <v>11.25</v>
      </c>
      <c r="F59" s="64"/>
      <c r="G59" s="64"/>
      <c r="H59" s="64"/>
      <c r="I59" s="64"/>
      <c r="J59" s="3"/>
      <c r="K59" s="2"/>
      <c r="L59" s="2"/>
      <c r="M59" s="2"/>
      <c r="N59" s="2"/>
    </row>
    <row r="60" spans="1:14" x14ac:dyDescent="0.25">
      <c r="A60" s="3"/>
      <c r="B60" s="216" t="s">
        <v>20</v>
      </c>
      <c r="C60" s="64"/>
      <c r="D60" s="127">
        <v>0.3</v>
      </c>
      <c r="E60" s="127">
        <v>0.3</v>
      </c>
      <c r="F60" s="64"/>
      <c r="G60" s="64"/>
      <c r="H60" s="64"/>
      <c r="I60" s="64"/>
      <c r="J60" s="3"/>
      <c r="K60" s="2"/>
      <c r="L60" s="2"/>
      <c r="M60" s="2"/>
      <c r="N60" s="2"/>
    </row>
    <row r="61" spans="1:14" ht="31.5" x14ac:dyDescent="0.25">
      <c r="A61" s="3"/>
      <c r="B61" s="45" t="s">
        <v>222</v>
      </c>
      <c r="C61" s="129">
        <v>110</v>
      </c>
      <c r="D61" s="76"/>
      <c r="E61" s="76"/>
      <c r="F61" s="4">
        <v>2.29</v>
      </c>
      <c r="G61" s="4">
        <v>5.15</v>
      </c>
      <c r="H61" s="4">
        <v>19.95</v>
      </c>
      <c r="I61" s="4">
        <v>133.80000000000001</v>
      </c>
      <c r="J61" s="155" t="s">
        <v>223</v>
      </c>
      <c r="K61" s="2"/>
      <c r="L61" s="2"/>
      <c r="M61" s="2"/>
      <c r="N61" s="2"/>
    </row>
    <row r="62" spans="1:14" x14ac:dyDescent="0.25">
      <c r="A62" s="3"/>
      <c r="B62" s="134" t="s">
        <v>86</v>
      </c>
      <c r="C62" s="130"/>
      <c r="D62" s="140">
        <v>145.19999999999999</v>
      </c>
      <c r="E62" s="140">
        <v>108.9</v>
      </c>
      <c r="F62" s="4"/>
      <c r="G62" s="4"/>
      <c r="H62" s="4"/>
      <c r="I62" s="4"/>
      <c r="J62" s="4" t="s">
        <v>16</v>
      </c>
      <c r="K62" s="2"/>
      <c r="L62" s="2"/>
      <c r="M62" s="2"/>
      <c r="N62" s="2"/>
    </row>
    <row r="63" spans="1:14" x14ac:dyDescent="0.25">
      <c r="A63" s="3"/>
      <c r="B63" s="134" t="s">
        <v>22</v>
      </c>
      <c r="C63" s="130"/>
      <c r="D63" s="140">
        <v>4.95</v>
      </c>
      <c r="E63" s="140">
        <v>4.95</v>
      </c>
      <c r="F63" s="4"/>
      <c r="G63" s="4"/>
      <c r="H63" s="4"/>
      <c r="I63" s="4"/>
      <c r="J63" s="3"/>
      <c r="K63" s="2"/>
      <c r="L63" s="2"/>
      <c r="M63" s="2"/>
      <c r="N63" s="2"/>
    </row>
    <row r="64" spans="1:14" x14ac:dyDescent="0.25">
      <c r="A64" s="3"/>
      <c r="B64" s="139" t="s">
        <v>20</v>
      </c>
      <c r="C64" s="130"/>
      <c r="D64" s="140">
        <v>0.3</v>
      </c>
      <c r="E64" s="140">
        <v>0.3</v>
      </c>
      <c r="F64" s="4"/>
      <c r="G64" s="4"/>
      <c r="H64" s="4"/>
      <c r="I64" s="4"/>
      <c r="J64" s="3"/>
      <c r="K64" s="2"/>
      <c r="L64" s="2"/>
      <c r="M64" s="2"/>
      <c r="N64" s="2"/>
    </row>
    <row r="65" spans="1:14" x14ac:dyDescent="0.25">
      <c r="A65" s="3"/>
      <c r="B65" s="97" t="s">
        <v>430</v>
      </c>
      <c r="C65" s="126">
        <v>150</v>
      </c>
      <c r="D65" s="127">
        <v>150</v>
      </c>
      <c r="E65" s="127">
        <v>150</v>
      </c>
      <c r="F65" s="126">
        <v>0</v>
      </c>
      <c r="G65" s="126">
        <v>0</v>
      </c>
      <c r="H65" s="126">
        <v>16.100000000000001</v>
      </c>
      <c r="I65" s="126">
        <v>64.400000000000006</v>
      </c>
      <c r="J65" s="66"/>
      <c r="K65" s="72">
        <v>200</v>
      </c>
      <c r="L65" s="2"/>
      <c r="M65" s="2"/>
      <c r="N65" s="2"/>
    </row>
    <row r="66" spans="1:14" x14ac:dyDescent="0.25">
      <c r="A66" s="3"/>
      <c r="B66" s="97" t="s">
        <v>28</v>
      </c>
      <c r="C66" s="129">
        <v>25</v>
      </c>
      <c r="D66" s="130">
        <v>25</v>
      </c>
      <c r="E66" s="130">
        <v>25</v>
      </c>
      <c r="F66" s="126">
        <v>1.9</v>
      </c>
      <c r="G66" s="126">
        <v>0.22500000000000001</v>
      </c>
      <c r="H66" s="126">
        <v>11.675000000000001</v>
      </c>
      <c r="I66" s="126">
        <v>57.75</v>
      </c>
      <c r="J66" s="3"/>
      <c r="K66" s="72">
        <v>20</v>
      </c>
      <c r="L66" s="2"/>
      <c r="M66" s="2"/>
      <c r="N66" s="2"/>
    </row>
    <row r="67" spans="1:14" x14ac:dyDescent="0.25">
      <c r="A67" s="3"/>
      <c r="B67" s="125" t="s">
        <v>84</v>
      </c>
      <c r="C67" s="129">
        <v>15</v>
      </c>
      <c r="D67" s="130">
        <f>C67</f>
        <v>15</v>
      </c>
      <c r="E67" s="130">
        <f>C67</f>
        <v>15</v>
      </c>
      <c r="F67" s="129">
        <f>C67*1.54/K67</f>
        <v>1.155</v>
      </c>
      <c r="G67" s="129">
        <f>C67*0.28/K67</f>
        <v>0.21000000000000002</v>
      </c>
      <c r="H67" s="129">
        <f>C67*7.52/K67</f>
        <v>5.64</v>
      </c>
      <c r="I67" s="129">
        <f>C67*40.2/K67</f>
        <v>30.15</v>
      </c>
      <c r="J67" s="3"/>
      <c r="K67" s="72">
        <v>20</v>
      </c>
      <c r="L67" s="2"/>
      <c r="M67" s="2"/>
      <c r="N67" s="2"/>
    </row>
    <row r="68" spans="1:14" x14ac:dyDescent="0.25">
      <c r="A68" s="5" t="s">
        <v>69</v>
      </c>
      <c r="B68" s="6"/>
      <c r="C68" s="8">
        <f>SUM(C27:C67)</f>
        <v>715</v>
      </c>
      <c r="D68" s="77"/>
      <c r="E68" s="77"/>
      <c r="F68" s="165">
        <f>SUM(F27:F67)</f>
        <v>22.634999999999998</v>
      </c>
      <c r="G68" s="165">
        <f>SUM(G27:G67)</f>
        <v>29.592500000000001</v>
      </c>
      <c r="H68" s="165">
        <f>SUM(H27:H67)</f>
        <v>68.3</v>
      </c>
      <c r="I68" s="165">
        <f>SUM(I27:I67)</f>
        <v>632.35</v>
      </c>
      <c r="J68" s="6"/>
      <c r="K68" s="2"/>
      <c r="L68" s="2"/>
      <c r="M68" s="2"/>
      <c r="N68" s="2"/>
    </row>
    <row r="69" spans="1:14" ht="31.5" x14ac:dyDescent="0.25">
      <c r="A69" s="166" t="s">
        <v>70</v>
      </c>
      <c r="B69" s="218" t="s">
        <v>364</v>
      </c>
      <c r="C69" s="219">
        <v>45</v>
      </c>
      <c r="D69" s="220"/>
      <c r="E69" s="220"/>
      <c r="F69" s="219">
        <f>C69*4.71/K69</f>
        <v>3.5324999999999998</v>
      </c>
      <c r="G69" s="219">
        <v>2.74</v>
      </c>
      <c r="H69" s="219">
        <f>C69*35.3/K69</f>
        <v>26.474999999999998</v>
      </c>
      <c r="I69" s="219">
        <v>144.74</v>
      </c>
      <c r="J69" s="46" t="s">
        <v>396</v>
      </c>
      <c r="K69" s="2">
        <v>60</v>
      </c>
      <c r="L69" s="2"/>
      <c r="M69" s="2"/>
      <c r="N69" s="2"/>
    </row>
    <row r="70" spans="1:14" x14ac:dyDescent="0.25">
      <c r="A70" s="166"/>
      <c r="B70" s="221" t="s">
        <v>63</v>
      </c>
      <c r="C70" s="222"/>
      <c r="D70" s="220">
        <f>$C$69*44.8/$K$69</f>
        <v>33.599999999999994</v>
      </c>
      <c r="E70" s="220">
        <f>$C$69*44.8/$K$69</f>
        <v>33.599999999999994</v>
      </c>
      <c r="F70" s="222"/>
      <c r="G70" s="219"/>
      <c r="H70" s="219"/>
      <c r="I70" s="219"/>
      <c r="J70" s="4" t="s">
        <v>16</v>
      </c>
      <c r="K70" s="2"/>
      <c r="L70" s="2"/>
      <c r="M70" s="2"/>
      <c r="N70" s="2"/>
    </row>
    <row r="71" spans="1:14" x14ac:dyDescent="0.25">
      <c r="A71" s="166"/>
      <c r="B71" s="221" t="s">
        <v>39</v>
      </c>
      <c r="C71" s="222"/>
      <c r="D71" s="220">
        <f>$C$69*4.4/$K$69</f>
        <v>3.3000000000000003</v>
      </c>
      <c r="E71" s="220">
        <f>$C$69*4.4/$K$69</f>
        <v>3.3000000000000003</v>
      </c>
      <c r="F71" s="222"/>
      <c r="G71" s="219"/>
      <c r="H71" s="219"/>
      <c r="I71" s="219"/>
      <c r="J71" s="171"/>
      <c r="K71" s="2"/>
      <c r="L71" s="2"/>
      <c r="M71" s="2"/>
      <c r="N71" s="2"/>
    </row>
    <row r="72" spans="1:14" x14ac:dyDescent="0.25">
      <c r="A72" s="166"/>
      <c r="B72" s="221" t="s">
        <v>22</v>
      </c>
      <c r="C72" s="222"/>
      <c r="D72" s="220">
        <f>$C$69*1.3/$K$69</f>
        <v>0.97499999999999998</v>
      </c>
      <c r="E72" s="220">
        <f>$C$69*1.3/$K$69</f>
        <v>0.97499999999999998</v>
      </c>
      <c r="F72" s="222"/>
      <c r="G72" s="219"/>
      <c r="H72" s="219"/>
      <c r="I72" s="219"/>
      <c r="J72" s="171"/>
      <c r="K72" s="2"/>
      <c r="L72" s="2"/>
      <c r="M72" s="2"/>
      <c r="N72" s="2"/>
    </row>
    <row r="73" spans="1:14" x14ac:dyDescent="0.25">
      <c r="A73" s="166"/>
      <c r="B73" s="221" t="s">
        <v>20</v>
      </c>
      <c r="C73" s="222"/>
      <c r="D73" s="220">
        <f>$C$69*0.7/$K$69</f>
        <v>0.52499999999999991</v>
      </c>
      <c r="E73" s="220">
        <f>$C$69*0.7/$K$69</f>
        <v>0.52499999999999991</v>
      </c>
      <c r="F73" s="222"/>
      <c r="G73" s="219"/>
      <c r="H73" s="219"/>
      <c r="I73" s="219"/>
      <c r="J73" s="171"/>
      <c r="K73" s="2"/>
      <c r="L73" s="2"/>
      <c r="M73" s="2"/>
      <c r="N73" s="2"/>
    </row>
    <row r="74" spans="1:14" x14ac:dyDescent="0.25">
      <c r="A74" s="166"/>
      <c r="B74" s="221" t="s">
        <v>78</v>
      </c>
      <c r="C74" s="222"/>
      <c r="D74" s="220" t="s">
        <v>170</v>
      </c>
      <c r="E74" s="220">
        <f>C69*2/K69</f>
        <v>1.5</v>
      </c>
      <c r="F74" s="222"/>
      <c r="G74" s="219"/>
      <c r="H74" s="219"/>
      <c r="I74" s="219"/>
      <c r="J74" s="171"/>
      <c r="K74" s="2"/>
      <c r="L74" s="2"/>
      <c r="M74" s="2"/>
      <c r="N74" s="2"/>
    </row>
    <row r="75" spans="1:14" ht="31.5" x14ac:dyDescent="0.25">
      <c r="A75" s="166"/>
      <c r="B75" s="221" t="s">
        <v>171</v>
      </c>
      <c r="C75" s="222"/>
      <c r="D75" s="220">
        <f>$C$69*0.7/$K$69</f>
        <v>0.52499999999999991</v>
      </c>
      <c r="E75" s="220">
        <f>$C$69*0.7/$K$69</f>
        <v>0.52499999999999991</v>
      </c>
      <c r="F75" s="222"/>
      <c r="G75" s="219"/>
      <c r="H75" s="219"/>
      <c r="I75" s="219"/>
      <c r="J75" s="171"/>
      <c r="K75" s="2"/>
      <c r="L75" s="2"/>
      <c r="M75" s="2"/>
      <c r="N75" s="2"/>
    </row>
    <row r="76" spans="1:14" x14ac:dyDescent="0.25">
      <c r="A76" s="166"/>
      <c r="B76" s="221" t="s">
        <v>144</v>
      </c>
      <c r="C76" s="222"/>
      <c r="D76" s="220">
        <f>$C$69*19/$K$69</f>
        <v>14.25</v>
      </c>
      <c r="E76" s="220">
        <f>$C$69*19/$K$69</f>
        <v>14.25</v>
      </c>
      <c r="F76" s="222"/>
      <c r="G76" s="219"/>
      <c r="H76" s="219"/>
      <c r="I76" s="219"/>
      <c r="J76" s="171"/>
      <c r="K76" s="2"/>
      <c r="L76" s="2"/>
      <c r="M76" s="2"/>
      <c r="N76" s="2"/>
    </row>
    <row r="77" spans="1:14" x14ac:dyDescent="0.25">
      <c r="A77" s="166"/>
      <c r="B77" s="221" t="s">
        <v>172</v>
      </c>
      <c r="C77" s="222"/>
      <c r="D77" s="220" t="s">
        <v>173</v>
      </c>
      <c r="E77" s="220">
        <f>C69*69/K69</f>
        <v>51.75</v>
      </c>
      <c r="F77" s="222"/>
      <c r="G77" s="219"/>
      <c r="H77" s="219"/>
      <c r="I77" s="219"/>
      <c r="J77" s="171"/>
      <c r="K77" s="2"/>
      <c r="L77" s="2"/>
      <c r="M77" s="2"/>
      <c r="N77" s="2"/>
    </row>
    <row r="78" spans="1:14" x14ac:dyDescent="0.25">
      <c r="A78" s="166"/>
      <c r="B78" s="222" t="s">
        <v>174</v>
      </c>
      <c r="C78" s="222"/>
      <c r="D78" s="220" t="s">
        <v>170</v>
      </c>
      <c r="E78" s="220">
        <f>C69*2/K69</f>
        <v>1.5</v>
      </c>
      <c r="F78" s="222"/>
      <c r="G78" s="219"/>
      <c r="H78" s="219"/>
      <c r="I78" s="219"/>
      <c r="J78" s="171"/>
      <c r="K78" s="2"/>
      <c r="L78" s="2"/>
      <c r="M78" s="2"/>
      <c r="N78" s="2"/>
    </row>
    <row r="79" spans="1:14" ht="28.5" customHeight="1" x14ac:dyDescent="0.25">
      <c r="A79" s="166"/>
      <c r="B79" s="174" t="s">
        <v>365</v>
      </c>
      <c r="C79" s="222"/>
      <c r="D79" s="220">
        <f>$C$69*1.8/$K$69</f>
        <v>1.35</v>
      </c>
      <c r="E79" s="220">
        <f>$C$69*1.8/$K$69</f>
        <v>1.35</v>
      </c>
      <c r="F79" s="222"/>
      <c r="G79" s="222"/>
      <c r="H79" s="222"/>
      <c r="I79" s="222"/>
      <c r="J79" s="171"/>
      <c r="K79" s="2"/>
      <c r="L79" s="2"/>
      <c r="M79" s="2"/>
      <c r="N79" s="2"/>
    </row>
    <row r="80" spans="1:14" x14ac:dyDescent="0.25">
      <c r="A80" s="166"/>
      <c r="B80" s="172" t="s">
        <v>151</v>
      </c>
      <c r="C80" s="173">
        <v>180</v>
      </c>
      <c r="D80" s="174">
        <v>189</v>
      </c>
      <c r="E80" s="174">
        <f>C80*200/K80</f>
        <v>180</v>
      </c>
      <c r="F80" s="175">
        <v>5.0199999999999996</v>
      </c>
      <c r="G80" s="175">
        <v>5.74</v>
      </c>
      <c r="H80" s="175">
        <v>8.44</v>
      </c>
      <c r="I80" s="175">
        <v>105.57</v>
      </c>
      <c r="J80" s="166" t="s">
        <v>438</v>
      </c>
      <c r="K80" s="2">
        <v>200</v>
      </c>
      <c r="L80" s="2"/>
      <c r="M80" s="2"/>
      <c r="N80" s="2"/>
    </row>
    <row r="81" spans="1:14" x14ac:dyDescent="0.25">
      <c r="A81" s="5" t="s">
        <v>72</v>
      </c>
      <c r="B81" s="6"/>
      <c r="C81" s="8">
        <f>SUM(C69:C80)</f>
        <v>225</v>
      </c>
      <c r="D81" s="77"/>
      <c r="E81" s="77"/>
      <c r="F81" s="165">
        <f>SUM(F69:F80)</f>
        <v>8.5524999999999984</v>
      </c>
      <c r="G81" s="165">
        <f>SUM(G69:G80)</f>
        <v>8.48</v>
      </c>
      <c r="H81" s="165">
        <f>SUM(H69:H80)</f>
        <v>34.914999999999999</v>
      </c>
      <c r="I81" s="165">
        <f>SUM(I69:I80)</f>
        <v>250.31</v>
      </c>
      <c r="J81" s="6"/>
      <c r="K81" s="2"/>
      <c r="L81" s="2"/>
      <c r="M81" s="2"/>
      <c r="N81" s="2"/>
    </row>
    <row r="82" spans="1:14" x14ac:dyDescent="0.25">
      <c r="A82" s="46" t="s">
        <v>73</v>
      </c>
      <c r="B82" s="97" t="s">
        <v>366</v>
      </c>
      <c r="C82" s="126">
        <v>40</v>
      </c>
      <c r="D82" s="83"/>
      <c r="E82" s="83"/>
      <c r="F82" s="105">
        <v>0.7599999999999999</v>
      </c>
      <c r="G82" s="105">
        <v>0.64</v>
      </c>
      <c r="H82" s="105">
        <v>6.84</v>
      </c>
      <c r="I82" s="105">
        <v>36.4</v>
      </c>
      <c r="J82" s="46" t="s">
        <v>368</v>
      </c>
      <c r="K82" s="2"/>
      <c r="L82" s="2"/>
      <c r="M82" s="2"/>
      <c r="N82" s="2"/>
    </row>
    <row r="83" spans="1:14" x14ac:dyDescent="0.25">
      <c r="A83" s="46"/>
      <c r="B83" s="66" t="s">
        <v>367</v>
      </c>
      <c r="C83" s="126"/>
      <c r="D83" s="83">
        <v>66.7</v>
      </c>
      <c r="E83" s="83">
        <v>40</v>
      </c>
      <c r="F83" s="105"/>
      <c r="G83" s="105"/>
      <c r="H83" s="105"/>
      <c r="I83" s="105"/>
      <c r="J83" s="46" t="s">
        <v>236</v>
      </c>
      <c r="K83" s="2"/>
      <c r="L83" s="2"/>
      <c r="M83" s="2"/>
      <c r="N83" s="2"/>
    </row>
    <row r="84" spans="1:14" ht="31.5" x14ac:dyDescent="0.25">
      <c r="A84" s="166"/>
      <c r="B84" s="45" t="s">
        <v>177</v>
      </c>
      <c r="C84" s="149">
        <v>60</v>
      </c>
      <c r="D84" s="223"/>
      <c r="E84" s="223"/>
      <c r="F84" s="126">
        <f>C84*12.85/K84</f>
        <v>11.014285714285714</v>
      </c>
      <c r="G84" s="126">
        <f>C84*14.6/K84</f>
        <v>12.514285714285714</v>
      </c>
      <c r="H84" s="126">
        <v>7.48</v>
      </c>
      <c r="I84" s="126">
        <f>C84*217.83/K84</f>
        <v>186.7114285714286</v>
      </c>
      <c r="J84" s="166" t="s">
        <v>182</v>
      </c>
      <c r="K84" s="2">
        <v>70</v>
      </c>
      <c r="L84" s="2"/>
      <c r="M84" s="2"/>
      <c r="N84" s="2"/>
    </row>
    <row r="85" spans="1:14" x14ac:dyDescent="0.25">
      <c r="A85" s="166"/>
      <c r="B85" s="206" t="s">
        <v>156</v>
      </c>
      <c r="C85" s="154"/>
      <c r="D85" s="224">
        <f>C84*53.8/K84</f>
        <v>46.114285714285714</v>
      </c>
      <c r="E85" s="224">
        <f>C84*49/K84</f>
        <v>42</v>
      </c>
      <c r="F85" s="126"/>
      <c r="G85" s="126"/>
      <c r="H85" s="126"/>
      <c r="I85" s="126"/>
      <c r="J85" s="4" t="s">
        <v>16</v>
      </c>
      <c r="K85" s="2"/>
      <c r="L85" s="2"/>
      <c r="M85" s="2"/>
      <c r="N85" s="2"/>
    </row>
    <row r="86" spans="1:14" x14ac:dyDescent="0.25">
      <c r="A86" s="166"/>
      <c r="B86" s="134" t="s">
        <v>178</v>
      </c>
      <c r="C86" s="154"/>
      <c r="D86" s="224">
        <f>$C$84*9.4/$K$84</f>
        <v>8.0571428571428569</v>
      </c>
      <c r="E86" s="224">
        <f>$C$84*9.4/$K$84</f>
        <v>8.0571428571428569</v>
      </c>
      <c r="F86" s="126"/>
      <c r="G86" s="126"/>
      <c r="H86" s="126"/>
      <c r="I86" s="126"/>
      <c r="J86" s="166"/>
      <c r="K86" s="2"/>
      <c r="L86" s="2"/>
      <c r="M86" s="2"/>
      <c r="N86" s="2"/>
    </row>
    <row r="87" spans="1:14" x14ac:dyDescent="0.25">
      <c r="A87" s="166"/>
      <c r="B87" s="134" t="s">
        <v>188</v>
      </c>
      <c r="C87" s="154"/>
      <c r="D87" s="224">
        <f>$C$84*14/$K$84</f>
        <v>12</v>
      </c>
      <c r="E87" s="224">
        <f>$C$84*14/$K$84</f>
        <v>12</v>
      </c>
      <c r="F87" s="126"/>
      <c r="G87" s="126"/>
      <c r="H87" s="126"/>
      <c r="I87" s="126"/>
      <c r="J87" s="166"/>
      <c r="K87" s="2"/>
      <c r="L87" s="2"/>
      <c r="M87" s="2"/>
      <c r="N87" s="2"/>
    </row>
    <row r="88" spans="1:14" x14ac:dyDescent="0.25">
      <c r="A88" s="166"/>
      <c r="B88" s="134" t="s">
        <v>179</v>
      </c>
      <c r="C88" s="154"/>
      <c r="D88" s="224">
        <f>C84*27/K84</f>
        <v>23.142857142857142</v>
      </c>
      <c r="E88" s="224">
        <f>C84*23/K84</f>
        <v>19.714285714285715</v>
      </c>
      <c r="F88" s="126"/>
      <c r="G88" s="126"/>
      <c r="H88" s="126"/>
      <c r="I88" s="126"/>
      <c r="J88" s="166"/>
      <c r="K88" s="2"/>
      <c r="L88" s="2"/>
      <c r="M88" s="2"/>
      <c r="N88" s="2"/>
    </row>
    <row r="89" spans="1:14" x14ac:dyDescent="0.25">
      <c r="A89" s="166"/>
      <c r="B89" s="134" t="s">
        <v>180</v>
      </c>
      <c r="C89" s="154"/>
      <c r="D89" s="224">
        <f>$C$84*2.3/$K$84</f>
        <v>1.9714285714285715</v>
      </c>
      <c r="E89" s="224">
        <f>$C$84*2.3/$K$84</f>
        <v>1.9714285714285715</v>
      </c>
      <c r="F89" s="126"/>
      <c r="G89" s="126"/>
      <c r="H89" s="126"/>
      <c r="I89" s="126"/>
      <c r="J89" s="166"/>
      <c r="K89" s="2"/>
      <c r="L89" s="2"/>
      <c r="M89" s="2"/>
      <c r="N89" s="2"/>
    </row>
    <row r="90" spans="1:14" x14ac:dyDescent="0.25">
      <c r="A90" s="166"/>
      <c r="B90" s="66" t="s">
        <v>181</v>
      </c>
      <c r="C90" s="126"/>
      <c r="D90" s="127" t="s">
        <v>173</v>
      </c>
      <c r="E90" s="127">
        <f>C84*12.5/K84</f>
        <v>10.714285714285714</v>
      </c>
      <c r="F90" s="126"/>
      <c r="G90" s="126"/>
      <c r="H90" s="126"/>
      <c r="I90" s="126"/>
      <c r="J90" s="166"/>
      <c r="K90" s="2"/>
      <c r="L90" s="2"/>
      <c r="M90" s="2"/>
      <c r="N90" s="2"/>
    </row>
    <row r="91" spans="1:14" x14ac:dyDescent="0.25">
      <c r="A91" s="166"/>
      <c r="B91" s="66" t="s">
        <v>20</v>
      </c>
      <c r="C91" s="126"/>
      <c r="D91" s="127">
        <v>0.3</v>
      </c>
      <c r="E91" s="127">
        <v>0.3</v>
      </c>
      <c r="F91" s="126"/>
      <c r="G91" s="126"/>
      <c r="H91" s="126"/>
      <c r="I91" s="126"/>
      <c r="J91" s="166"/>
      <c r="K91" s="2"/>
      <c r="L91" s="2"/>
      <c r="M91" s="2"/>
      <c r="N91" s="2"/>
    </row>
    <row r="92" spans="1:14" x14ac:dyDescent="0.25">
      <c r="A92" s="166"/>
      <c r="B92" s="213" t="s">
        <v>164</v>
      </c>
      <c r="C92" s="149">
        <v>15</v>
      </c>
      <c r="D92" s="224"/>
      <c r="E92" s="224"/>
      <c r="F92" s="129">
        <f>C92*0.16/K92</f>
        <v>0.08</v>
      </c>
      <c r="G92" s="129">
        <f>C92*1.1/K92</f>
        <v>0.55000000000000004</v>
      </c>
      <c r="H92" s="129">
        <f>C92*1.57/K92</f>
        <v>0.78500000000000003</v>
      </c>
      <c r="I92" s="129">
        <f>C92*16.85/K92</f>
        <v>8.4250000000000007</v>
      </c>
      <c r="J92" s="166" t="s">
        <v>183</v>
      </c>
      <c r="K92" s="2">
        <v>30</v>
      </c>
      <c r="L92" s="2"/>
      <c r="M92" s="2"/>
      <c r="N92" s="2"/>
    </row>
    <row r="93" spans="1:14" x14ac:dyDescent="0.25">
      <c r="A93" s="166"/>
      <c r="B93" s="134" t="s">
        <v>56</v>
      </c>
      <c r="C93" s="154"/>
      <c r="D93" s="224">
        <f>$C$92*1.5/K92</f>
        <v>0.75</v>
      </c>
      <c r="E93" s="224">
        <f>$C$92*1.5/K92</f>
        <v>0.75</v>
      </c>
      <c r="F93" s="130"/>
      <c r="G93" s="130"/>
      <c r="H93" s="130"/>
      <c r="I93" s="130"/>
      <c r="J93" s="4" t="s">
        <v>16</v>
      </c>
      <c r="K93" s="2"/>
      <c r="L93" s="2"/>
      <c r="M93" s="2"/>
      <c r="N93" s="2"/>
    </row>
    <row r="94" spans="1:14" x14ac:dyDescent="0.25">
      <c r="A94" s="166"/>
      <c r="B94" s="134" t="s">
        <v>22</v>
      </c>
      <c r="C94" s="154"/>
      <c r="D94" s="224">
        <f>$C$92*1.5/K92</f>
        <v>0.75</v>
      </c>
      <c r="E94" s="224">
        <f>$C$92*1.5/K92</f>
        <v>0.75</v>
      </c>
      <c r="F94" s="130"/>
      <c r="G94" s="130"/>
      <c r="H94" s="130"/>
      <c r="I94" s="130"/>
      <c r="J94" s="166"/>
      <c r="K94" s="2"/>
      <c r="L94" s="2"/>
      <c r="M94" s="2"/>
      <c r="N94" s="2"/>
    </row>
    <row r="95" spans="1:14" x14ac:dyDescent="0.25">
      <c r="A95" s="166"/>
      <c r="B95" s="134" t="s">
        <v>55</v>
      </c>
      <c r="C95" s="154"/>
      <c r="D95" s="224">
        <f>$C$92*1.8/K92</f>
        <v>0.9</v>
      </c>
      <c r="E95" s="224">
        <f>$C$92*1.8/K92</f>
        <v>0.9</v>
      </c>
      <c r="F95" s="130"/>
      <c r="G95" s="130"/>
      <c r="H95" s="130"/>
      <c r="I95" s="130"/>
      <c r="J95" s="166"/>
      <c r="K95" s="2"/>
      <c r="L95" s="2"/>
      <c r="M95" s="2"/>
      <c r="N95" s="2"/>
    </row>
    <row r="96" spans="1:14" x14ac:dyDescent="0.25">
      <c r="A96" s="166"/>
      <c r="B96" s="134" t="s">
        <v>19</v>
      </c>
      <c r="C96" s="154"/>
      <c r="D96" s="224">
        <f>$C$92*0.54/K92</f>
        <v>0.27000000000000007</v>
      </c>
      <c r="E96" s="224">
        <f>$C$92*0.54/K92</f>
        <v>0.27000000000000007</v>
      </c>
      <c r="F96" s="130"/>
      <c r="G96" s="130"/>
      <c r="H96" s="130"/>
      <c r="I96" s="130"/>
      <c r="J96" s="166"/>
      <c r="K96" s="2"/>
      <c r="L96" s="2"/>
      <c r="M96" s="2"/>
      <c r="N96" s="2"/>
    </row>
    <row r="97" spans="1:14" x14ac:dyDescent="0.25">
      <c r="A97" s="166"/>
      <c r="B97" s="134" t="s">
        <v>20</v>
      </c>
      <c r="C97" s="154"/>
      <c r="D97" s="224">
        <v>0.1</v>
      </c>
      <c r="E97" s="224">
        <v>0.1</v>
      </c>
      <c r="F97" s="130"/>
      <c r="G97" s="130"/>
      <c r="H97" s="130"/>
      <c r="I97" s="130"/>
      <c r="J97" s="166"/>
      <c r="K97" s="2"/>
      <c r="L97" s="2"/>
      <c r="M97" s="2"/>
      <c r="N97" s="2"/>
    </row>
    <row r="98" spans="1:14" ht="47.25" x14ac:dyDescent="0.25">
      <c r="A98" s="166"/>
      <c r="B98" s="163" t="s">
        <v>387</v>
      </c>
      <c r="C98" s="126">
        <v>110</v>
      </c>
      <c r="D98" s="127"/>
      <c r="E98" s="127"/>
      <c r="F98" s="126">
        <v>3.94</v>
      </c>
      <c r="G98" s="126">
        <v>4.32</v>
      </c>
      <c r="H98" s="126">
        <v>25.1</v>
      </c>
      <c r="I98" s="126">
        <v>155.13999999999999</v>
      </c>
      <c r="J98" s="166" t="s">
        <v>389</v>
      </c>
      <c r="K98" s="2"/>
      <c r="L98" s="2"/>
      <c r="M98" s="2"/>
      <c r="N98" s="2"/>
    </row>
    <row r="99" spans="1:14" x14ac:dyDescent="0.25">
      <c r="A99" s="166"/>
      <c r="B99" s="216" t="s">
        <v>184</v>
      </c>
      <c r="C99" s="122"/>
      <c r="D99" s="127">
        <v>31.9</v>
      </c>
      <c r="E99" s="127">
        <v>31.9</v>
      </c>
      <c r="F99" s="122"/>
      <c r="G99" s="122"/>
      <c r="H99" s="122"/>
      <c r="I99" s="122"/>
      <c r="J99" s="4" t="s">
        <v>16</v>
      </c>
      <c r="K99" s="2"/>
      <c r="L99" s="2"/>
      <c r="M99" s="2"/>
      <c r="N99" s="2"/>
    </row>
    <row r="100" spans="1:14" ht="31.5" x14ac:dyDescent="0.25">
      <c r="A100" s="166"/>
      <c r="B100" s="216" t="s">
        <v>388</v>
      </c>
      <c r="C100" s="122"/>
      <c r="D100" s="127"/>
      <c r="E100" s="127">
        <v>91</v>
      </c>
      <c r="F100" s="122"/>
      <c r="G100" s="122"/>
      <c r="H100" s="122"/>
      <c r="I100" s="122"/>
      <c r="J100" s="4"/>
      <c r="K100" s="2"/>
      <c r="L100" s="2"/>
      <c r="M100" s="2"/>
      <c r="N100" s="2"/>
    </row>
    <row r="101" spans="1:14" x14ac:dyDescent="0.25">
      <c r="A101" s="166"/>
      <c r="B101" s="134" t="s">
        <v>185</v>
      </c>
      <c r="C101" s="122"/>
      <c r="D101" s="127">
        <v>2</v>
      </c>
      <c r="E101" s="127">
        <v>2</v>
      </c>
      <c r="F101" s="159"/>
      <c r="G101" s="159"/>
      <c r="H101" s="159"/>
      <c r="I101" s="159"/>
      <c r="J101" s="171"/>
      <c r="K101" s="2"/>
      <c r="L101" s="2"/>
      <c r="M101" s="2"/>
      <c r="N101" s="2"/>
    </row>
    <row r="102" spans="1:14" x14ac:dyDescent="0.25">
      <c r="A102" s="166"/>
      <c r="B102" s="134" t="s">
        <v>48</v>
      </c>
      <c r="C102" s="122"/>
      <c r="D102" s="127">
        <v>15.18</v>
      </c>
      <c r="E102" s="127">
        <v>12.1</v>
      </c>
      <c r="F102" s="159"/>
      <c r="G102" s="159"/>
      <c r="H102" s="159"/>
      <c r="I102" s="159"/>
      <c r="J102" s="171"/>
      <c r="K102" s="2"/>
      <c r="L102" s="2"/>
      <c r="M102" s="2"/>
      <c r="N102" s="2"/>
    </row>
    <row r="103" spans="1:14" x14ac:dyDescent="0.25">
      <c r="A103" s="166"/>
      <c r="B103" s="134" t="s">
        <v>179</v>
      </c>
      <c r="C103" s="122"/>
      <c r="D103" s="127">
        <v>11</v>
      </c>
      <c r="E103" s="127">
        <v>9.1999999999999993</v>
      </c>
      <c r="F103" s="159"/>
      <c r="G103" s="159"/>
      <c r="H103" s="159"/>
      <c r="I103" s="159"/>
      <c r="J103" s="171"/>
      <c r="K103" s="2"/>
      <c r="L103" s="2"/>
      <c r="M103" s="2"/>
      <c r="N103" s="2"/>
    </row>
    <row r="104" spans="1:14" x14ac:dyDescent="0.25">
      <c r="A104" s="166"/>
      <c r="B104" s="134" t="s">
        <v>55</v>
      </c>
      <c r="C104" s="122"/>
      <c r="D104" s="127">
        <v>2.2000000000000002</v>
      </c>
      <c r="E104" s="127">
        <v>2.2000000000000002</v>
      </c>
      <c r="F104" s="159"/>
      <c r="G104" s="159"/>
      <c r="H104" s="159"/>
      <c r="I104" s="159"/>
      <c r="J104" s="171"/>
      <c r="K104" s="2"/>
      <c r="L104" s="2"/>
      <c r="M104" s="2"/>
      <c r="N104" s="2"/>
    </row>
    <row r="105" spans="1:14" x14ac:dyDescent="0.25">
      <c r="A105" s="166"/>
      <c r="B105" s="134" t="s">
        <v>390</v>
      </c>
      <c r="C105" s="122"/>
      <c r="D105" s="127">
        <v>3.3</v>
      </c>
      <c r="E105" s="127">
        <v>3.3</v>
      </c>
      <c r="F105" s="159"/>
      <c r="G105" s="159"/>
      <c r="H105" s="159"/>
      <c r="I105" s="159"/>
      <c r="J105" s="171"/>
      <c r="K105" s="2"/>
      <c r="L105" s="2"/>
      <c r="M105" s="2"/>
      <c r="N105" s="2"/>
    </row>
    <row r="106" spans="1:14" x14ac:dyDescent="0.25">
      <c r="A106" s="166"/>
      <c r="B106" s="134" t="s">
        <v>424</v>
      </c>
      <c r="C106" s="122"/>
      <c r="D106" s="127"/>
      <c r="E106" s="127">
        <v>22</v>
      </c>
      <c r="F106" s="159"/>
      <c r="G106" s="159"/>
      <c r="H106" s="159"/>
      <c r="I106" s="159"/>
      <c r="J106" s="171"/>
      <c r="K106" s="2"/>
      <c r="L106" s="2"/>
      <c r="M106" s="2"/>
      <c r="N106" s="2"/>
    </row>
    <row r="107" spans="1:14" x14ac:dyDescent="0.25">
      <c r="A107" s="166"/>
      <c r="B107" s="134" t="s">
        <v>186</v>
      </c>
      <c r="C107" s="122"/>
      <c r="D107" s="127">
        <v>0.5</v>
      </c>
      <c r="E107" s="127">
        <v>0.5</v>
      </c>
      <c r="F107" s="122"/>
      <c r="G107" s="122"/>
      <c r="H107" s="122"/>
      <c r="I107" s="122"/>
      <c r="J107" s="171"/>
      <c r="K107" s="2"/>
      <c r="L107" s="69"/>
      <c r="M107" s="69"/>
      <c r="N107" s="69"/>
    </row>
    <row r="108" spans="1:14" ht="31.5" x14ac:dyDescent="0.25">
      <c r="A108" s="3"/>
      <c r="B108" s="125" t="s">
        <v>412</v>
      </c>
      <c r="C108" s="126">
        <v>180</v>
      </c>
      <c r="D108" s="122"/>
      <c r="E108" s="122"/>
      <c r="F108" s="126">
        <v>0.18</v>
      </c>
      <c r="G108" s="126">
        <v>0</v>
      </c>
      <c r="H108" s="126">
        <v>5.85</v>
      </c>
      <c r="I108" s="126">
        <v>24.12</v>
      </c>
      <c r="J108" s="202" t="s">
        <v>426</v>
      </c>
      <c r="K108" s="2"/>
      <c r="L108" s="69"/>
      <c r="M108" s="94"/>
      <c r="N108" s="69"/>
    </row>
    <row r="109" spans="1:14" x14ac:dyDescent="0.25">
      <c r="A109" s="3"/>
      <c r="B109" s="66" t="s">
        <v>80</v>
      </c>
      <c r="C109" s="126"/>
      <c r="D109" s="127">
        <v>0.9</v>
      </c>
      <c r="E109" s="127">
        <v>0.9</v>
      </c>
      <c r="F109" s="126"/>
      <c r="G109" s="126"/>
      <c r="H109" s="126"/>
      <c r="I109" s="126"/>
      <c r="J109" s="46"/>
      <c r="K109" s="2"/>
      <c r="L109" s="69"/>
      <c r="M109" s="94"/>
      <c r="N109" s="69"/>
    </row>
    <row r="110" spans="1:14" x14ac:dyDescent="0.25">
      <c r="A110" s="3"/>
      <c r="B110" s="66" t="s">
        <v>27</v>
      </c>
      <c r="C110" s="126"/>
      <c r="D110" s="127">
        <v>180</v>
      </c>
      <c r="E110" s="127">
        <v>180</v>
      </c>
      <c r="F110" s="126"/>
      <c r="G110" s="126"/>
      <c r="H110" s="126"/>
      <c r="I110" s="126"/>
      <c r="J110" s="3"/>
      <c r="K110" s="2"/>
      <c r="L110" s="69"/>
      <c r="M110" s="69"/>
      <c r="N110" s="69"/>
    </row>
    <row r="111" spans="1:14" x14ac:dyDescent="0.25">
      <c r="A111" s="3"/>
      <c r="B111" s="164" t="s">
        <v>19</v>
      </c>
      <c r="C111" s="122"/>
      <c r="D111" s="127">
        <v>6.3</v>
      </c>
      <c r="E111" s="127">
        <v>6.3</v>
      </c>
      <c r="F111" s="126"/>
      <c r="G111" s="126"/>
      <c r="H111" s="126"/>
      <c r="I111" s="126"/>
      <c r="J111" s="3"/>
      <c r="K111" s="2"/>
      <c r="L111" s="69"/>
      <c r="M111" s="69"/>
      <c r="N111" s="69"/>
    </row>
    <row r="112" spans="1:14" x14ac:dyDescent="0.25">
      <c r="A112" s="3"/>
      <c r="B112" s="97" t="s">
        <v>28</v>
      </c>
      <c r="C112" s="129">
        <v>20</v>
      </c>
      <c r="D112" s="130">
        <f>C112</f>
        <v>20</v>
      </c>
      <c r="E112" s="130">
        <f>C112</f>
        <v>20</v>
      </c>
      <c r="F112" s="126">
        <f>C112*1.52/20</f>
        <v>1.52</v>
      </c>
      <c r="G112" s="126">
        <f>C112*0.18/K112</f>
        <v>0.18</v>
      </c>
      <c r="H112" s="126">
        <f>C112*9.34/K112</f>
        <v>9.34</v>
      </c>
      <c r="I112" s="126">
        <f>C112*46.2/K112</f>
        <v>46.2</v>
      </c>
      <c r="J112" s="3"/>
      <c r="K112" s="72">
        <v>20</v>
      </c>
      <c r="L112" s="2"/>
      <c r="M112" s="2"/>
      <c r="N112" s="2"/>
    </row>
    <row r="113" spans="1:14" x14ac:dyDescent="0.25">
      <c r="A113" s="3"/>
      <c r="B113" s="125" t="s">
        <v>84</v>
      </c>
      <c r="C113" s="129">
        <v>15</v>
      </c>
      <c r="D113" s="80">
        <f>C113</f>
        <v>15</v>
      </c>
      <c r="E113" s="80">
        <f>C113</f>
        <v>15</v>
      </c>
      <c r="F113" s="129">
        <f>C113*1.54/K113</f>
        <v>1.155</v>
      </c>
      <c r="G113" s="129">
        <f>C113*0.28/K113</f>
        <v>0.21000000000000002</v>
      </c>
      <c r="H113" s="129">
        <f>C113*7.52/K113</f>
        <v>5.64</v>
      </c>
      <c r="I113" s="129">
        <f>C113*40.2/K113</f>
        <v>30.15</v>
      </c>
      <c r="J113" s="3"/>
      <c r="K113" s="72">
        <v>20</v>
      </c>
      <c r="L113" s="2"/>
      <c r="M113" s="2"/>
      <c r="N113" s="2"/>
    </row>
    <row r="114" spans="1:14" x14ac:dyDescent="0.25">
      <c r="A114" s="5" t="s">
        <v>81</v>
      </c>
      <c r="B114" s="5"/>
      <c r="C114" s="8">
        <f>SUM(C84:C113)</f>
        <v>400</v>
      </c>
      <c r="D114" s="165"/>
      <c r="E114" s="165"/>
      <c r="F114" s="225">
        <f>SUM(F82:F113)</f>
        <v>18.649285714285714</v>
      </c>
      <c r="G114" s="225">
        <f>SUM(G82:G113)</f>
        <v>18.414285714285718</v>
      </c>
      <c r="H114" s="225">
        <f>SUM(H82:H113)</f>
        <v>61.034999999999997</v>
      </c>
      <c r="I114" s="225">
        <f>SUM(I82:I113)</f>
        <v>487.14642857142854</v>
      </c>
      <c r="J114" s="5"/>
      <c r="K114" s="2"/>
      <c r="L114" s="2"/>
      <c r="M114" s="2"/>
      <c r="N114" s="2"/>
    </row>
    <row r="115" spans="1:14" x14ac:dyDescent="0.25">
      <c r="A115" s="13" t="s">
        <v>82</v>
      </c>
      <c r="B115" s="13"/>
      <c r="C115" s="13"/>
      <c r="D115" s="14"/>
      <c r="E115" s="14"/>
      <c r="F115" s="14">
        <f>F24+F26+F68+F81+F114</f>
        <v>88.166785714285709</v>
      </c>
      <c r="G115" s="14">
        <f>G24+G26+G68+G81+G114</f>
        <v>76.33378571428571</v>
      </c>
      <c r="H115" s="14">
        <f>H24+H26+H68+H81+H114</f>
        <v>239.62199999999999</v>
      </c>
      <c r="I115" s="14">
        <f>I24+I26+I68+I81+I114</f>
        <v>2003.8187619047619</v>
      </c>
      <c r="J115" s="13"/>
      <c r="K115" s="2"/>
      <c r="L115" s="2"/>
      <c r="M115" s="2"/>
      <c r="N115" s="2"/>
    </row>
    <row r="116" spans="1:14" ht="16.5" thickBot="1" x14ac:dyDescent="0.3">
      <c r="J116" s="2"/>
      <c r="K116" s="2"/>
      <c r="L116" s="2"/>
      <c r="M116" s="2"/>
      <c r="N116" s="2"/>
    </row>
    <row r="117" spans="1:14" ht="16.5" thickBot="1" x14ac:dyDescent="0.3">
      <c r="A117" s="182" t="s">
        <v>131</v>
      </c>
      <c r="B117" s="183" t="s">
        <v>132</v>
      </c>
      <c r="C117" s="184" t="s">
        <v>133</v>
      </c>
      <c r="D117" s="227" t="s">
        <v>134</v>
      </c>
      <c r="E117" s="228"/>
      <c r="F117" s="186"/>
      <c r="G117" s="186"/>
      <c r="H117" s="186"/>
      <c r="J117" s="2"/>
      <c r="K117" s="2"/>
      <c r="L117" s="2"/>
      <c r="M117" s="2"/>
      <c r="N117" s="2"/>
    </row>
    <row r="118" spans="1:14" x14ac:dyDescent="0.25">
      <c r="A118" s="187" t="s">
        <v>135</v>
      </c>
      <c r="B118" s="188">
        <f>I24</f>
        <v>539.01233333333334</v>
      </c>
      <c r="C118" s="189">
        <f>B118/B123*100</f>
        <v>26.899255740123252</v>
      </c>
      <c r="D118" s="190">
        <v>0.2</v>
      </c>
      <c r="E118" s="229"/>
      <c r="F118" s="70"/>
      <c r="G118" s="191"/>
      <c r="H118" s="192"/>
      <c r="J118" s="2"/>
      <c r="K118" s="2"/>
      <c r="L118" s="2"/>
      <c r="M118" s="2"/>
      <c r="N118" s="2"/>
    </row>
    <row r="119" spans="1:14" x14ac:dyDescent="0.25">
      <c r="A119" s="187" t="s">
        <v>136</v>
      </c>
      <c r="B119" s="188">
        <f>I26</f>
        <v>95</v>
      </c>
      <c r="C119" s="189">
        <f>B119/B123*100</f>
        <v>4.7409477247181888</v>
      </c>
      <c r="D119" s="190">
        <v>0.05</v>
      </c>
      <c r="E119" s="229"/>
      <c r="F119" s="70"/>
      <c r="G119" s="191"/>
      <c r="H119" s="192"/>
      <c r="J119" s="2"/>
      <c r="K119" s="2"/>
      <c r="L119" s="2"/>
      <c r="M119" s="2"/>
      <c r="N119" s="2"/>
    </row>
    <row r="120" spans="1:14" x14ac:dyDescent="0.25">
      <c r="A120" s="193" t="s">
        <v>137</v>
      </c>
      <c r="B120" s="194">
        <f>I68</f>
        <v>632.35</v>
      </c>
      <c r="C120" s="195">
        <f>B120/B123*100</f>
        <v>31.557245197111023</v>
      </c>
      <c r="D120" s="196">
        <v>0.35</v>
      </c>
      <c r="E120" s="229"/>
      <c r="F120" s="70"/>
      <c r="G120" s="191"/>
      <c r="H120" s="157"/>
      <c r="J120" s="2"/>
      <c r="K120" s="2"/>
      <c r="L120" s="2"/>
      <c r="M120" s="2"/>
      <c r="N120" s="2"/>
    </row>
    <row r="121" spans="1:14" x14ac:dyDescent="0.25">
      <c r="A121" s="193" t="s">
        <v>138</v>
      </c>
      <c r="B121" s="194">
        <f>I81</f>
        <v>250.31</v>
      </c>
      <c r="C121" s="195">
        <f>B121/B123*100</f>
        <v>12.491648683939053</v>
      </c>
      <c r="D121" s="196">
        <v>0.15</v>
      </c>
      <c r="E121" s="229"/>
      <c r="F121" s="70"/>
      <c r="G121" s="191"/>
      <c r="H121" s="192"/>
      <c r="J121" s="2"/>
      <c r="K121" s="2"/>
      <c r="L121" s="2"/>
      <c r="M121" s="2"/>
      <c r="N121" s="2"/>
    </row>
    <row r="122" spans="1:14" ht="16.5" thickBot="1" x14ac:dyDescent="0.3">
      <c r="A122" s="193" t="s">
        <v>139</v>
      </c>
      <c r="B122" s="194">
        <f>I114</f>
        <v>487.14642857142854</v>
      </c>
      <c r="C122" s="195">
        <f>B122/B123*100</f>
        <v>24.310902654108485</v>
      </c>
      <c r="D122" s="196">
        <v>0.25</v>
      </c>
      <c r="E122" s="229"/>
      <c r="F122" s="70"/>
      <c r="G122" s="191"/>
      <c r="H122" s="192"/>
      <c r="J122" s="2"/>
      <c r="K122" s="2"/>
      <c r="L122" s="2"/>
      <c r="M122" s="2"/>
      <c r="N122" s="2"/>
    </row>
    <row r="123" spans="1:14" ht="16.5" thickBot="1" x14ac:dyDescent="0.3">
      <c r="A123" s="197" t="s">
        <v>140</v>
      </c>
      <c r="B123" s="198">
        <f>SUM(B118:B122)</f>
        <v>2003.8187619047619</v>
      </c>
      <c r="C123" s="199"/>
      <c r="D123" s="230"/>
      <c r="E123" s="229"/>
      <c r="F123" s="70"/>
      <c r="G123" s="70"/>
      <c r="H123" s="70"/>
      <c r="J123" s="2"/>
      <c r="K123" s="2"/>
      <c r="L123" s="2"/>
      <c r="M123" s="2"/>
      <c r="N123" s="2"/>
    </row>
    <row r="124" spans="1:14" x14ac:dyDescent="0.25">
      <c r="J124" s="2"/>
      <c r="K124" s="2"/>
      <c r="L124" s="2"/>
      <c r="M124" s="2"/>
      <c r="N124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70866141732283472" right="0" top="0.35433070866141736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21"/>
  <sheetViews>
    <sheetView view="pageBreakPreview" zoomScaleSheetLayoutView="100" workbookViewId="0">
      <selection activeCell="L11" sqref="L11:L12"/>
    </sheetView>
  </sheetViews>
  <sheetFormatPr defaultRowHeight="15.75" x14ac:dyDescent="0.25"/>
  <cols>
    <col min="1" max="1" width="15.85546875" style="124" customWidth="1"/>
    <col min="2" max="2" width="23.5703125" style="124" customWidth="1"/>
    <col min="3" max="3" width="9.28515625" style="124" customWidth="1"/>
    <col min="4" max="5" width="9.140625" style="277"/>
    <col min="6" max="9" width="9.140625" style="124"/>
    <col min="10" max="10" width="15.140625" style="124" customWidth="1"/>
    <col min="11" max="16384" width="9.140625" style="124"/>
  </cols>
  <sheetData>
    <row r="1" spans="1:13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2"/>
      <c r="L1" s="2"/>
      <c r="M1" s="2"/>
    </row>
    <row r="2" spans="1:13" x14ac:dyDescent="0.25">
      <c r="A2" s="2" t="s">
        <v>383</v>
      </c>
      <c r="B2" s="2"/>
      <c r="C2" s="2"/>
      <c r="D2" s="78"/>
      <c r="E2" s="78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78"/>
      <c r="E3" s="78"/>
      <c r="F3" s="2"/>
      <c r="G3" s="2"/>
      <c r="H3" s="2"/>
      <c r="I3" s="2"/>
      <c r="J3" s="2"/>
      <c r="K3" s="2"/>
      <c r="L3" s="2"/>
      <c r="M3" s="2"/>
    </row>
    <row r="4" spans="1:13" x14ac:dyDescent="0.25">
      <c r="A4" s="411" t="s">
        <v>1</v>
      </c>
      <c r="B4" s="411" t="s">
        <v>2</v>
      </c>
      <c r="C4" s="411" t="s">
        <v>3</v>
      </c>
      <c r="D4" s="415" t="s">
        <v>12</v>
      </c>
      <c r="E4" s="416"/>
      <c r="F4" s="409" t="s">
        <v>7</v>
      </c>
      <c r="G4" s="410"/>
      <c r="H4" s="410"/>
      <c r="I4" s="411" t="s">
        <v>8</v>
      </c>
      <c r="J4" s="409" t="s">
        <v>9</v>
      </c>
      <c r="K4" s="2"/>
      <c r="L4" s="2"/>
      <c r="M4" s="2"/>
    </row>
    <row r="5" spans="1:13" x14ac:dyDescent="0.25">
      <c r="A5" s="412"/>
      <c r="B5" s="412"/>
      <c r="C5" s="412"/>
      <c r="D5" s="79" t="s">
        <v>10</v>
      </c>
      <c r="E5" s="79" t="s">
        <v>11</v>
      </c>
      <c r="F5" s="4" t="s">
        <v>4</v>
      </c>
      <c r="G5" s="4" t="s">
        <v>5</v>
      </c>
      <c r="H5" s="4" t="s">
        <v>6</v>
      </c>
      <c r="I5" s="412"/>
      <c r="J5" s="410"/>
      <c r="K5" s="2"/>
      <c r="L5" s="2"/>
      <c r="M5" s="2"/>
    </row>
    <row r="6" spans="1:13" ht="31.5" x14ac:dyDescent="0.25">
      <c r="A6" s="201" t="s">
        <v>189</v>
      </c>
      <c r="B6" s="3"/>
      <c r="C6" s="3"/>
      <c r="D6" s="80"/>
      <c r="E6" s="80"/>
      <c r="F6" s="3"/>
      <c r="G6" s="3"/>
      <c r="H6" s="3"/>
      <c r="I6" s="3"/>
      <c r="J6" s="3"/>
      <c r="K6" s="2"/>
      <c r="L6" s="2"/>
      <c r="M6" s="2"/>
    </row>
    <row r="7" spans="1:13" ht="31.5" x14ac:dyDescent="0.25">
      <c r="A7" s="4" t="s">
        <v>14</v>
      </c>
      <c r="B7" s="15" t="s">
        <v>190</v>
      </c>
      <c r="C7" s="4">
        <v>150</v>
      </c>
      <c r="D7" s="232"/>
      <c r="E7" s="232"/>
      <c r="F7" s="126">
        <f>C7*13.65/K7</f>
        <v>10.237500000000001</v>
      </c>
      <c r="G7" s="126">
        <f>C7*16.66/K7</f>
        <v>12.494999999999999</v>
      </c>
      <c r="H7" s="126">
        <f>C7*6.66/K7</f>
        <v>4.9950000000000001</v>
      </c>
      <c r="I7" s="126">
        <f>C7*231.28/K7</f>
        <v>173.46</v>
      </c>
      <c r="J7" s="4" t="s">
        <v>195</v>
      </c>
      <c r="K7" s="2">
        <v>200</v>
      </c>
      <c r="L7" s="2"/>
      <c r="M7" s="2"/>
    </row>
    <row r="8" spans="1:13" x14ac:dyDescent="0.25">
      <c r="A8" s="3"/>
      <c r="B8" s="66" t="s">
        <v>106</v>
      </c>
      <c r="C8" s="3"/>
      <c r="D8" s="80" t="s">
        <v>226</v>
      </c>
      <c r="E8" s="80">
        <f>$C$7*80/$K$7</f>
        <v>60</v>
      </c>
      <c r="F8" s="130"/>
      <c r="G8" s="130"/>
      <c r="H8" s="130"/>
      <c r="I8" s="130"/>
      <c r="J8" s="4" t="s">
        <v>16</v>
      </c>
      <c r="K8" s="2"/>
      <c r="L8" s="2"/>
      <c r="M8" s="2"/>
    </row>
    <row r="9" spans="1:13" x14ac:dyDescent="0.25">
      <c r="A9" s="3"/>
      <c r="B9" s="66" t="s">
        <v>144</v>
      </c>
      <c r="C9" s="3"/>
      <c r="D9" s="80">
        <f>$C$7*80/$K$7</f>
        <v>60</v>
      </c>
      <c r="E9" s="80">
        <f>$C$7*80/$K$7</f>
        <v>60</v>
      </c>
      <c r="F9" s="130"/>
      <c r="G9" s="130"/>
      <c r="H9" s="130"/>
      <c r="I9" s="130"/>
      <c r="J9" s="4"/>
      <c r="K9" s="2"/>
      <c r="L9" s="2"/>
      <c r="M9" s="2"/>
    </row>
    <row r="10" spans="1:13" x14ac:dyDescent="0.25">
      <c r="A10" s="3"/>
      <c r="B10" s="66" t="s">
        <v>192</v>
      </c>
      <c r="C10" s="3"/>
      <c r="D10" s="80" t="s">
        <v>173</v>
      </c>
      <c r="E10" s="80">
        <f>C7*160/K7</f>
        <v>120</v>
      </c>
      <c r="F10" s="130"/>
      <c r="G10" s="130"/>
      <c r="H10" s="130"/>
      <c r="I10" s="130"/>
      <c r="J10" s="4"/>
      <c r="K10" s="2"/>
      <c r="L10" s="2"/>
      <c r="M10" s="2"/>
    </row>
    <row r="11" spans="1:13" ht="31.5" x14ac:dyDescent="0.25">
      <c r="A11" s="3"/>
      <c r="B11" s="123" t="s">
        <v>193</v>
      </c>
      <c r="C11" s="3"/>
      <c r="D11" s="80">
        <f>C7*60/K7</f>
        <v>45</v>
      </c>
      <c r="E11" s="80">
        <f>C7*38.7/K7</f>
        <v>29.024999999999999</v>
      </c>
      <c r="F11" s="130"/>
      <c r="G11" s="130"/>
      <c r="H11" s="130"/>
      <c r="I11" s="130"/>
      <c r="J11" s="4"/>
      <c r="K11" s="2"/>
      <c r="L11" s="2"/>
      <c r="M11" s="2"/>
    </row>
    <row r="12" spans="1:13" x14ac:dyDescent="0.25">
      <c r="A12" s="3"/>
      <c r="B12" s="66" t="s">
        <v>194</v>
      </c>
      <c r="C12" s="3"/>
      <c r="D12" s="80">
        <f>$C$7*6.7/$K$7</f>
        <v>5.0250000000000004</v>
      </c>
      <c r="E12" s="80">
        <f>$C$7*6.7/$K$7</f>
        <v>5.0250000000000004</v>
      </c>
      <c r="F12" s="130"/>
      <c r="G12" s="130"/>
      <c r="H12" s="130"/>
      <c r="I12" s="130"/>
      <c r="J12" s="4"/>
      <c r="K12" s="2"/>
      <c r="L12" s="2"/>
      <c r="M12" s="2"/>
    </row>
    <row r="13" spans="1:13" x14ac:dyDescent="0.25">
      <c r="A13" s="3"/>
      <c r="B13" s="206" t="s">
        <v>20</v>
      </c>
      <c r="C13" s="3"/>
      <c r="D13" s="80">
        <f>$C$7*0.7/$K$7</f>
        <v>0.52500000000000002</v>
      </c>
      <c r="E13" s="80">
        <f>$C$7*0.7/$K$7</f>
        <v>0.52500000000000002</v>
      </c>
      <c r="F13" s="130"/>
      <c r="G13" s="130"/>
      <c r="H13" s="130"/>
      <c r="I13" s="130"/>
      <c r="J13" s="3"/>
      <c r="K13" s="2"/>
      <c r="L13" s="2"/>
      <c r="M13" s="2"/>
    </row>
    <row r="14" spans="1:13" x14ac:dyDescent="0.25">
      <c r="A14" s="3"/>
      <c r="B14" s="213"/>
      <c r="C14" s="47"/>
      <c r="D14" s="211"/>
      <c r="E14" s="211"/>
      <c r="F14" s="129"/>
      <c r="G14" s="129"/>
      <c r="H14" s="129"/>
      <c r="I14" s="129"/>
      <c r="J14" s="3"/>
      <c r="K14" s="2"/>
      <c r="L14" s="2"/>
      <c r="M14" s="2"/>
    </row>
    <row r="15" spans="1:13" x14ac:dyDescent="0.25">
      <c r="A15" s="3"/>
      <c r="B15" s="131" t="s">
        <v>196</v>
      </c>
      <c r="C15" s="129">
        <v>180</v>
      </c>
      <c r="D15" s="233"/>
      <c r="E15" s="233"/>
      <c r="F15" s="129">
        <v>1.26</v>
      </c>
      <c r="G15" s="129">
        <v>1.44</v>
      </c>
      <c r="H15" s="129">
        <v>14.76</v>
      </c>
      <c r="I15" s="129">
        <v>77.400000000000006</v>
      </c>
      <c r="J15" s="4" t="s">
        <v>456</v>
      </c>
      <c r="K15" s="2">
        <v>180</v>
      </c>
      <c r="L15" s="2"/>
      <c r="M15" s="2"/>
    </row>
    <row r="16" spans="1:13" x14ac:dyDescent="0.25">
      <c r="A16" s="3"/>
      <c r="B16" s="134" t="s">
        <v>80</v>
      </c>
      <c r="C16" s="234"/>
      <c r="D16" s="211">
        <v>0.6</v>
      </c>
      <c r="E16" s="211">
        <v>0.6</v>
      </c>
      <c r="F16" s="130"/>
      <c r="G16" s="130"/>
      <c r="H16" s="130"/>
      <c r="I16" s="130"/>
      <c r="J16" s="4" t="s">
        <v>457</v>
      </c>
      <c r="K16" s="2"/>
      <c r="L16" s="2"/>
      <c r="M16" s="2"/>
    </row>
    <row r="17" spans="1:13" x14ac:dyDescent="0.25">
      <c r="A17" s="3"/>
      <c r="B17" s="134" t="s">
        <v>197</v>
      </c>
      <c r="C17" s="234"/>
      <c r="D17" s="211">
        <v>108</v>
      </c>
      <c r="E17" s="211">
        <v>108</v>
      </c>
      <c r="F17" s="130"/>
      <c r="G17" s="130"/>
      <c r="H17" s="130"/>
      <c r="I17" s="130"/>
      <c r="J17" s="3"/>
      <c r="K17" s="2"/>
      <c r="L17" s="2"/>
      <c r="M17" s="2"/>
    </row>
    <row r="18" spans="1:13" x14ac:dyDescent="0.25">
      <c r="A18" s="3"/>
      <c r="B18" s="134" t="s">
        <v>144</v>
      </c>
      <c r="C18" s="234"/>
      <c r="D18" s="211">
        <v>60</v>
      </c>
      <c r="E18" s="211">
        <f>$C$15*72/$K$15</f>
        <v>72</v>
      </c>
      <c r="F18" s="130"/>
      <c r="G18" s="130"/>
      <c r="H18" s="130"/>
      <c r="I18" s="130"/>
      <c r="J18" s="3"/>
      <c r="K18" s="2"/>
      <c r="L18" s="2"/>
      <c r="M18" s="2"/>
    </row>
    <row r="19" spans="1:13" x14ac:dyDescent="0.25">
      <c r="A19" s="3"/>
      <c r="B19" s="134" t="s">
        <v>39</v>
      </c>
      <c r="C19" s="234"/>
      <c r="D19" s="211">
        <v>13.5</v>
      </c>
      <c r="E19" s="211">
        <v>13.5</v>
      </c>
      <c r="F19" s="130"/>
      <c r="G19" s="130"/>
      <c r="H19" s="130"/>
      <c r="I19" s="130"/>
      <c r="J19" s="3"/>
      <c r="K19" s="2"/>
      <c r="L19" s="2"/>
      <c r="M19" s="2"/>
    </row>
    <row r="20" spans="1:13" x14ac:dyDescent="0.25">
      <c r="A20" s="3"/>
      <c r="B20" s="97" t="s">
        <v>28</v>
      </c>
      <c r="C20" s="129">
        <v>10</v>
      </c>
      <c r="D20" s="130">
        <v>10</v>
      </c>
      <c r="E20" s="130">
        <v>10</v>
      </c>
      <c r="F20" s="126">
        <v>0.76</v>
      </c>
      <c r="G20" s="126">
        <v>0.09</v>
      </c>
      <c r="H20" s="126">
        <v>4.67</v>
      </c>
      <c r="I20" s="126">
        <v>23.1</v>
      </c>
      <c r="J20" s="3"/>
      <c r="K20" s="72">
        <v>20</v>
      </c>
      <c r="L20" s="2"/>
      <c r="M20" s="2"/>
    </row>
    <row r="21" spans="1:13" x14ac:dyDescent="0.25">
      <c r="A21" s="3"/>
      <c r="B21" s="125" t="s">
        <v>84</v>
      </c>
      <c r="C21" s="129">
        <v>10</v>
      </c>
      <c r="D21" s="130">
        <f>C21</f>
        <v>10</v>
      </c>
      <c r="E21" s="130">
        <f>C21</f>
        <v>10</v>
      </c>
      <c r="F21" s="129">
        <f>C21*1.54/K21</f>
        <v>0.77</v>
      </c>
      <c r="G21" s="129">
        <f>C21*0.28/K21</f>
        <v>0.14000000000000001</v>
      </c>
      <c r="H21" s="129">
        <f>C21*7.52/K21</f>
        <v>3.7599999999999993</v>
      </c>
      <c r="I21" s="129">
        <f>C21*40.2/K21</f>
        <v>20.100000000000001</v>
      </c>
      <c r="J21" s="3"/>
      <c r="K21" s="72">
        <v>20</v>
      </c>
      <c r="L21" s="2"/>
      <c r="M21" s="2"/>
    </row>
    <row r="22" spans="1:13" x14ac:dyDescent="0.25">
      <c r="A22" s="5" t="s">
        <v>30</v>
      </c>
      <c r="B22" s="6"/>
      <c r="C22" s="8">
        <f>SUM(C7:C21)</f>
        <v>350</v>
      </c>
      <c r="D22" s="81"/>
      <c r="E22" s="81"/>
      <c r="F22" s="8">
        <f>SUM(F7:F21)</f>
        <v>13.0275</v>
      </c>
      <c r="G22" s="8">
        <f>SUM(G7:G21)</f>
        <v>14.164999999999999</v>
      </c>
      <c r="H22" s="8">
        <f>SUM(H7:H21)</f>
        <v>28.184999999999995</v>
      </c>
      <c r="I22" s="8">
        <f>SUM(I7:I21)</f>
        <v>294.06000000000006</v>
      </c>
      <c r="J22" s="6"/>
      <c r="K22" s="2"/>
      <c r="L22" s="2"/>
      <c r="M22" s="2"/>
    </row>
    <row r="23" spans="1:13" x14ac:dyDescent="0.25">
      <c r="A23" s="4" t="s">
        <v>31</v>
      </c>
      <c r="B23" s="97" t="s">
        <v>430</v>
      </c>
      <c r="C23" s="126">
        <v>130</v>
      </c>
      <c r="D23" s="127">
        <v>130</v>
      </c>
      <c r="E23" s="127">
        <v>130</v>
      </c>
      <c r="F23" s="126">
        <v>0</v>
      </c>
      <c r="G23" s="126">
        <v>0</v>
      </c>
      <c r="H23" s="126">
        <v>13.95</v>
      </c>
      <c r="I23" s="126">
        <v>55.81</v>
      </c>
      <c r="J23" s="66"/>
      <c r="K23" s="72">
        <v>200</v>
      </c>
      <c r="L23" s="2"/>
      <c r="M23" s="2"/>
    </row>
    <row r="24" spans="1:13" ht="47.25" x14ac:dyDescent="0.25">
      <c r="A24" s="9" t="s">
        <v>32</v>
      </c>
      <c r="B24" s="6"/>
      <c r="C24" s="6"/>
      <c r="D24" s="81"/>
      <c r="E24" s="81"/>
      <c r="F24" s="8">
        <f>SUM(F23)</f>
        <v>0</v>
      </c>
      <c r="G24" s="8">
        <f>SUM(G23)</f>
        <v>0</v>
      </c>
      <c r="H24" s="8">
        <f>SUM(H23)</f>
        <v>13.95</v>
      </c>
      <c r="I24" s="8">
        <f>SUM(I23)</f>
        <v>55.81</v>
      </c>
      <c r="J24" s="6"/>
      <c r="K24" s="2"/>
      <c r="L24" s="2"/>
      <c r="M24" s="2"/>
    </row>
    <row r="25" spans="1:13" x14ac:dyDescent="0.25">
      <c r="A25" s="10" t="s">
        <v>33</v>
      </c>
      <c r="B25" s="119" t="s">
        <v>369</v>
      </c>
      <c r="C25" s="126">
        <v>40</v>
      </c>
      <c r="D25" s="127">
        <f>C25*51/K25</f>
        <v>40.799999999999997</v>
      </c>
      <c r="E25" s="127">
        <v>40</v>
      </c>
      <c r="F25" s="46">
        <v>0.44</v>
      </c>
      <c r="G25" s="46">
        <v>0.08</v>
      </c>
      <c r="H25" s="46">
        <v>1.52</v>
      </c>
      <c r="I25" s="46">
        <v>9.1999999999999993</v>
      </c>
      <c r="J25" s="4"/>
      <c r="K25" s="2">
        <v>50</v>
      </c>
      <c r="L25" s="2"/>
      <c r="M25" s="2"/>
    </row>
    <row r="26" spans="1:13" ht="41.25" customHeight="1" x14ac:dyDescent="0.25">
      <c r="A26" s="3"/>
      <c r="B26" s="235" t="s">
        <v>201</v>
      </c>
      <c r="C26" s="236">
        <v>165</v>
      </c>
      <c r="D26" s="237"/>
      <c r="E26" s="237"/>
      <c r="F26" s="238">
        <v>3.82</v>
      </c>
      <c r="G26" s="238">
        <v>5.9</v>
      </c>
      <c r="H26" s="238">
        <v>6.78</v>
      </c>
      <c r="I26" s="238">
        <v>95.46</v>
      </c>
      <c r="J26" s="46" t="s">
        <v>202</v>
      </c>
      <c r="K26" s="2">
        <v>200</v>
      </c>
      <c r="L26" s="2"/>
      <c r="M26" s="2"/>
    </row>
    <row r="27" spans="1:13" x14ac:dyDescent="0.25">
      <c r="A27" s="3"/>
      <c r="B27" s="239" t="s">
        <v>43</v>
      </c>
      <c r="C27" s="240"/>
      <c r="D27" s="127">
        <f>E29*20.8/K29</f>
        <v>17.333333333333332</v>
      </c>
      <c r="E27" s="127">
        <v>16</v>
      </c>
      <c r="F27" s="241"/>
      <c r="G27" s="241"/>
      <c r="H27" s="241"/>
      <c r="I27" s="241"/>
      <c r="J27" s="46" t="s">
        <v>16</v>
      </c>
      <c r="K27" s="2"/>
      <c r="L27" s="2"/>
      <c r="M27" s="2"/>
    </row>
    <row r="28" spans="1:13" x14ac:dyDescent="0.25">
      <c r="A28" s="3"/>
      <c r="B28" s="239" t="s">
        <v>27</v>
      </c>
      <c r="C28" s="240"/>
      <c r="D28" s="127">
        <v>158</v>
      </c>
      <c r="E28" s="127">
        <v>158</v>
      </c>
      <c r="F28" s="241"/>
      <c r="G28" s="241"/>
      <c r="H28" s="241"/>
      <c r="I28" s="241"/>
      <c r="J28" s="66"/>
      <c r="K28" s="2"/>
      <c r="L28" s="2"/>
      <c r="M28" s="2"/>
    </row>
    <row r="29" spans="1:13" ht="31.5" x14ac:dyDescent="0.25">
      <c r="A29" s="3"/>
      <c r="B29" s="242" t="s">
        <v>44</v>
      </c>
      <c r="C29" s="236"/>
      <c r="D29" s="80"/>
      <c r="E29" s="80">
        <v>10</v>
      </c>
      <c r="F29" s="242"/>
      <c r="G29" s="242"/>
      <c r="H29" s="242"/>
      <c r="I29" s="242"/>
      <c r="J29" s="3"/>
      <c r="K29" s="2">
        <v>12</v>
      </c>
      <c r="L29" s="2"/>
      <c r="M29" s="2"/>
    </row>
    <row r="30" spans="1:13" ht="31.5" x14ac:dyDescent="0.25">
      <c r="A30" s="3"/>
      <c r="B30" s="242" t="s">
        <v>45</v>
      </c>
      <c r="C30" s="236"/>
      <c r="D30" s="243"/>
      <c r="E30" s="244">
        <v>113</v>
      </c>
      <c r="F30" s="242"/>
      <c r="G30" s="242"/>
      <c r="H30" s="242"/>
      <c r="I30" s="242"/>
      <c r="J30" s="3"/>
      <c r="K30" s="2"/>
      <c r="L30" s="2"/>
      <c r="M30" s="2"/>
    </row>
    <row r="31" spans="1:13" x14ac:dyDescent="0.25">
      <c r="A31" s="3"/>
      <c r="B31" s="245" t="s">
        <v>199</v>
      </c>
      <c r="C31" s="236">
        <v>150</v>
      </c>
      <c r="D31" s="244">
        <v>30</v>
      </c>
      <c r="E31" s="244">
        <v>24</v>
      </c>
      <c r="F31" s="240"/>
      <c r="G31" s="240"/>
      <c r="H31" s="240"/>
      <c r="I31" s="240"/>
      <c r="J31" s="3"/>
      <c r="K31" s="2">
        <v>182</v>
      </c>
      <c r="L31" s="2"/>
      <c r="M31" s="2"/>
    </row>
    <row r="32" spans="1:13" x14ac:dyDescent="0.25">
      <c r="A32" s="3"/>
      <c r="B32" s="245" t="s">
        <v>157</v>
      </c>
      <c r="C32" s="236"/>
      <c r="D32" s="244">
        <v>15</v>
      </c>
      <c r="E32" s="244">
        <v>12</v>
      </c>
      <c r="F32" s="240"/>
      <c r="G32" s="240"/>
      <c r="H32" s="240"/>
      <c r="I32" s="240"/>
      <c r="J32" s="3"/>
      <c r="K32" s="2"/>
      <c r="L32" s="2"/>
      <c r="M32" s="2"/>
    </row>
    <row r="33" spans="1:13" x14ac:dyDescent="0.25">
      <c r="A33" s="3"/>
      <c r="B33" s="245" t="s">
        <v>47</v>
      </c>
      <c r="C33" s="236"/>
      <c r="D33" s="244">
        <v>15</v>
      </c>
      <c r="E33" s="244">
        <v>12</v>
      </c>
      <c r="F33" s="240"/>
      <c r="G33" s="240"/>
      <c r="H33" s="240"/>
      <c r="I33" s="240"/>
      <c r="J33" s="3"/>
      <c r="K33" s="2"/>
      <c r="L33" s="2"/>
      <c r="M33" s="2"/>
    </row>
    <row r="34" spans="1:13" x14ac:dyDescent="0.25">
      <c r="A34" s="3"/>
      <c r="B34" s="245" t="s">
        <v>48</v>
      </c>
      <c r="C34" s="236"/>
      <c r="D34" s="244">
        <v>7.5</v>
      </c>
      <c r="E34" s="244">
        <v>6</v>
      </c>
      <c r="F34" s="240"/>
      <c r="G34" s="240"/>
      <c r="H34" s="240"/>
      <c r="I34" s="240"/>
      <c r="J34" s="3"/>
      <c r="K34" s="2"/>
      <c r="L34" s="2"/>
      <c r="M34" s="2"/>
    </row>
    <row r="35" spans="1:13" x14ac:dyDescent="0.25">
      <c r="A35" s="3"/>
      <c r="B35" s="245" t="s">
        <v>49</v>
      </c>
      <c r="C35" s="236"/>
      <c r="D35" s="244">
        <f>C31*4.54545454545455/K31</f>
        <v>3.7462537462537502</v>
      </c>
      <c r="E35" s="244">
        <f>C31*3.63636363636364/K31</f>
        <v>2.9970029970029999</v>
      </c>
      <c r="F35" s="240"/>
      <c r="G35" s="240"/>
      <c r="H35" s="240"/>
      <c r="I35" s="240"/>
      <c r="J35" s="3"/>
      <c r="K35" s="2"/>
      <c r="L35" s="2"/>
      <c r="M35" s="2"/>
    </row>
    <row r="36" spans="1:13" x14ac:dyDescent="0.25">
      <c r="A36" s="3"/>
      <c r="B36" s="245" t="s">
        <v>22</v>
      </c>
      <c r="C36" s="236"/>
      <c r="D36" s="244">
        <f>C31*2.18181818181818/K31</f>
        <v>1.7982017982017966</v>
      </c>
      <c r="E36" s="244">
        <v>1.8</v>
      </c>
      <c r="F36" s="240"/>
      <c r="G36" s="240"/>
      <c r="H36" s="240"/>
      <c r="I36" s="240"/>
      <c r="J36" s="3"/>
      <c r="K36" s="2"/>
      <c r="L36" s="2"/>
      <c r="M36" s="2"/>
    </row>
    <row r="37" spans="1:13" x14ac:dyDescent="0.25">
      <c r="A37" s="3"/>
      <c r="B37" s="245" t="s">
        <v>20</v>
      </c>
      <c r="C37" s="236"/>
      <c r="D37" s="244">
        <v>0.5</v>
      </c>
      <c r="E37" s="244">
        <v>0.5</v>
      </c>
      <c r="F37" s="240"/>
      <c r="G37" s="240"/>
      <c r="H37" s="240"/>
      <c r="I37" s="240"/>
      <c r="J37" s="3"/>
      <c r="K37" s="2"/>
      <c r="L37" s="2"/>
      <c r="M37" s="2"/>
    </row>
    <row r="38" spans="1:13" x14ac:dyDescent="0.25">
      <c r="A38" s="3"/>
      <c r="B38" s="246" t="s">
        <v>19</v>
      </c>
      <c r="C38" s="236"/>
      <c r="D38" s="244">
        <f>C31*1.81818181818182/K31</f>
        <v>1.4985014985014999</v>
      </c>
      <c r="E38" s="244">
        <f>C31*1.81818181818182/K31</f>
        <v>1.4985014985014999</v>
      </c>
      <c r="F38" s="240"/>
      <c r="G38" s="240"/>
      <c r="H38" s="240"/>
      <c r="I38" s="240"/>
      <c r="J38" s="3"/>
      <c r="K38" s="2"/>
      <c r="L38" s="2"/>
      <c r="M38" s="2"/>
    </row>
    <row r="39" spans="1:13" x14ac:dyDescent="0.25">
      <c r="A39" s="3"/>
      <c r="B39" s="246" t="s">
        <v>200</v>
      </c>
      <c r="C39" s="240"/>
      <c r="D39" s="244">
        <f>$C$31*0.181818181818182/$K$31</f>
        <v>0.14985014985014999</v>
      </c>
      <c r="E39" s="244">
        <f>$C$31*0.181818181818182/$K$31</f>
        <v>0.14985014985014999</v>
      </c>
      <c r="F39" s="240"/>
      <c r="G39" s="240"/>
      <c r="H39" s="240"/>
      <c r="I39" s="240"/>
      <c r="J39" s="3"/>
      <c r="K39" s="2"/>
      <c r="L39" s="2"/>
      <c r="M39" s="2"/>
    </row>
    <row r="40" spans="1:13" x14ac:dyDescent="0.25">
      <c r="A40" s="3"/>
      <c r="B40" s="246" t="s">
        <v>159</v>
      </c>
      <c r="C40" s="247"/>
      <c r="D40" s="244">
        <f>C31*1.35/K31</f>
        <v>1.1126373626373627</v>
      </c>
      <c r="E40" s="244">
        <f>C31*1/K31</f>
        <v>0.82417582417582413</v>
      </c>
      <c r="F40" s="236"/>
      <c r="G40" s="236"/>
      <c r="H40" s="236"/>
      <c r="I40" s="236"/>
      <c r="J40" s="3"/>
      <c r="K40" s="2"/>
      <c r="L40" s="2"/>
      <c r="M40" s="2"/>
    </row>
    <row r="41" spans="1:13" x14ac:dyDescent="0.25">
      <c r="A41" s="3"/>
      <c r="B41" s="246" t="s">
        <v>160</v>
      </c>
      <c r="C41" s="236"/>
      <c r="D41" s="244">
        <v>5</v>
      </c>
      <c r="E41" s="244">
        <v>5</v>
      </c>
      <c r="F41" s="236"/>
      <c r="G41" s="236"/>
      <c r="H41" s="236"/>
      <c r="I41" s="236"/>
      <c r="J41" s="3"/>
      <c r="K41" s="2"/>
      <c r="L41" s="2"/>
      <c r="M41" s="2"/>
    </row>
    <row r="42" spans="1:13" ht="31.5" x14ac:dyDescent="0.25">
      <c r="A42" s="3"/>
      <c r="B42" s="15" t="s">
        <v>203</v>
      </c>
      <c r="C42" s="149">
        <v>60</v>
      </c>
      <c r="D42" s="248"/>
      <c r="E42" s="248"/>
      <c r="F42" s="46">
        <f>C42*20.13/K42</f>
        <v>17.254285714285714</v>
      </c>
      <c r="G42" s="46">
        <f>C42*24.28/K42</f>
        <v>20.811428571428575</v>
      </c>
      <c r="H42" s="151">
        <f>C42*3.17/K42</f>
        <v>2.7171428571428571</v>
      </c>
      <c r="I42" s="46">
        <v>267.14</v>
      </c>
      <c r="J42" s="4" t="s">
        <v>209</v>
      </c>
      <c r="K42" s="2">
        <v>70</v>
      </c>
      <c r="L42" s="2"/>
      <c r="M42" s="2"/>
    </row>
    <row r="43" spans="1:13" x14ac:dyDescent="0.25">
      <c r="A43" s="3"/>
      <c r="B43" s="66" t="s">
        <v>204</v>
      </c>
      <c r="C43" s="149"/>
      <c r="D43" s="224">
        <f>C42*121.3/K42</f>
        <v>103.97142857142858</v>
      </c>
      <c r="E43" s="249">
        <f>C42*107.3/K42</f>
        <v>91.971428571428575</v>
      </c>
      <c r="F43" s="46"/>
      <c r="G43" s="46"/>
      <c r="H43" s="46"/>
      <c r="I43" s="46"/>
      <c r="J43" s="4" t="s">
        <v>16</v>
      </c>
      <c r="K43" s="2"/>
      <c r="L43" s="2"/>
      <c r="M43" s="2"/>
    </row>
    <row r="44" spans="1:13" x14ac:dyDescent="0.25">
      <c r="A44" s="3"/>
      <c r="B44" s="66" t="s">
        <v>22</v>
      </c>
      <c r="C44" s="149"/>
      <c r="D44" s="224">
        <f>$C$42*5.25/$K$42</f>
        <v>4.5</v>
      </c>
      <c r="E44" s="224">
        <f>$C$42*5.25/$K$42</f>
        <v>4.5</v>
      </c>
      <c r="F44" s="46"/>
      <c r="G44" s="46"/>
      <c r="H44" s="46"/>
      <c r="I44" s="46"/>
      <c r="J44" s="3"/>
      <c r="K44" s="2"/>
      <c r="L44" s="2"/>
      <c r="M44" s="2"/>
    </row>
    <row r="45" spans="1:13" x14ac:dyDescent="0.25">
      <c r="A45" s="3"/>
      <c r="B45" s="66" t="s">
        <v>205</v>
      </c>
      <c r="C45" s="149"/>
      <c r="D45" s="224">
        <v>4.6500000000000004</v>
      </c>
      <c r="E45" s="224">
        <f>C42*4.4/K42</f>
        <v>3.7714285714285714</v>
      </c>
      <c r="F45" s="46"/>
      <c r="G45" s="46"/>
      <c r="H45" s="46"/>
      <c r="I45" s="46"/>
      <c r="J45" s="3"/>
      <c r="K45" s="2"/>
      <c r="L45" s="2"/>
      <c r="M45" s="2"/>
    </row>
    <row r="46" spans="1:13" x14ac:dyDescent="0.25">
      <c r="A46" s="3"/>
      <c r="B46" s="66" t="s">
        <v>55</v>
      </c>
      <c r="C46" s="149"/>
      <c r="D46" s="224">
        <f>$C$42*2.2/$K$42</f>
        <v>1.8857142857142857</v>
      </c>
      <c r="E46" s="224">
        <f>$C$42*2.2/$K$42</f>
        <v>1.8857142857142857</v>
      </c>
      <c r="F46" s="46"/>
      <c r="G46" s="46"/>
      <c r="H46" s="46"/>
      <c r="I46" s="46"/>
      <c r="J46" s="3"/>
      <c r="K46" s="2"/>
      <c r="L46" s="2"/>
      <c r="M46" s="2"/>
    </row>
    <row r="47" spans="1:13" x14ac:dyDescent="0.25">
      <c r="A47" s="3"/>
      <c r="B47" s="66" t="s">
        <v>56</v>
      </c>
      <c r="C47" s="149"/>
      <c r="D47" s="224">
        <f>$C$42*1.1/$K$42</f>
        <v>0.94285714285714284</v>
      </c>
      <c r="E47" s="224">
        <f>$C$42*1.1/$K$42</f>
        <v>0.94285714285714284</v>
      </c>
      <c r="F47" s="46"/>
      <c r="G47" s="46"/>
      <c r="H47" s="46"/>
      <c r="I47" s="46"/>
      <c r="J47" s="3"/>
      <c r="K47" s="2"/>
      <c r="L47" s="2"/>
      <c r="M47" s="2"/>
    </row>
    <row r="48" spans="1:13" x14ac:dyDescent="0.25">
      <c r="A48" s="3"/>
      <c r="B48" s="66" t="s">
        <v>206</v>
      </c>
      <c r="C48" s="149"/>
      <c r="D48" s="224">
        <f>C42*0.5/K42</f>
        <v>0.42857142857142855</v>
      </c>
      <c r="E48" s="224">
        <f>C42*0.4/K42</f>
        <v>0.34285714285714286</v>
      </c>
      <c r="F48" s="46"/>
      <c r="G48" s="46"/>
      <c r="H48" s="46"/>
      <c r="I48" s="46"/>
      <c r="J48" s="3"/>
      <c r="K48" s="2"/>
      <c r="L48" s="2"/>
      <c r="M48" s="2"/>
    </row>
    <row r="49" spans="1:20" x14ac:dyDescent="0.25">
      <c r="A49" s="3"/>
      <c r="B49" s="66" t="s">
        <v>160</v>
      </c>
      <c r="C49" s="149"/>
      <c r="D49" s="224">
        <f>$C$42*2.9/$K$42</f>
        <v>2.4857142857142858</v>
      </c>
      <c r="E49" s="224">
        <f>$C$42*2.9/$K$42</f>
        <v>2.4857142857142858</v>
      </c>
      <c r="F49" s="46"/>
      <c r="G49" s="46"/>
      <c r="H49" s="46"/>
      <c r="I49" s="46"/>
      <c r="J49" s="3"/>
      <c r="K49" s="2"/>
      <c r="L49" s="2"/>
      <c r="M49" s="2"/>
    </row>
    <row r="50" spans="1:20" x14ac:dyDescent="0.25">
      <c r="A50" s="3"/>
      <c r="B50" s="66" t="s">
        <v>48</v>
      </c>
      <c r="C50" s="149"/>
      <c r="D50" s="224">
        <f>$C$42*5.4/K42</f>
        <v>4.628571428571429</v>
      </c>
      <c r="E50" s="224">
        <f>C42*4.4/K42</f>
        <v>3.7714285714285714</v>
      </c>
      <c r="F50" s="46"/>
      <c r="G50" s="46"/>
      <c r="H50" s="46"/>
      <c r="I50" s="46"/>
      <c r="J50" s="3"/>
      <c r="K50" s="2"/>
      <c r="L50" s="2"/>
      <c r="M50" s="2"/>
    </row>
    <row r="51" spans="1:20" x14ac:dyDescent="0.25">
      <c r="A51" s="3"/>
      <c r="B51" s="66" t="s">
        <v>20</v>
      </c>
      <c r="C51" s="154"/>
      <c r="D51" s="224">
        <v>0.3</v>
      </c>
      <c r="E51" s="224">
        <v>0.3</v>
      </c>
      <c r="F51" s="4"/>
      <c r="G51" s="4"/>
      <c r="H51" s="4"/>
      <c r="I51" s="4"/>
      <c r="J51" s="3"/>
      <c r="K51" s="2"/>
      <c r="L51" s="2"/>
      <c r="M51" s="2"/>
    </row>
    <row r="52" spans="1:20" ht="31.5" x14ac:dyDescent="0.25">
      <c r="A52" s="3"/>
      <c r="B52" s="15" t="s">
        <v>207</v>
      </c>
      <c r="C52" s="129">
        <v>110</v>
      </c>
      <c r="D52" s="80"/>
      <c r="E52" s="80"/>
      <c r="F52" s="4">
        <f>C52*5.69/K52</f>
        <v>4.8146153846153856</v>
      </c>
      <c r="G52" s="4">
        <f>C52*5.56/K52</f>
        <v>4.7046153846153835</v>
      </c>
      <c r="H52" s="4">
        <v>28.69</v>
      </c>
      <c r="I52" s="4">
        <f>C52*209/K52</f>
        <v>176.84615384615384</v>
      </c>
      <c r="J52" s="4" t="s">
        <v>210</v>
      </c>
      <c r="K52" s="2">
        <v>130</v>
      </c>
      <c r="L52" s="2"/>
      <c r="M52" s="2"/>
    </row>
    <row r="53" spans="1:20" x14ac:dyDescent="0.25">
      <c r="A53" s="3"/>
      <c r="B53" s="3" t="s">
        <v>208</v>
      </c>
      <c r="C53" s="130"/>
      <c r="D53" s="140">
        <v>42.9</v>
      </c>
      <c r="E53" s="140">
        <v>42.9</v>
      </c>
      <c r="F53" s="4"/>
      <c r="G53" s="4"/>
      <c r="H53" s="4"/>
      <c r="I53" s="4"/>
      <c r="J53" s="4" t="s">
        <v>16</v>
      </c>
      <c r="K53" s="2"/>
      <c r="L53" s="2"/>
      <c r="M53" s="2"/>
    </row>
    <row r="54" spans="1:20" x14ac:dyDescent="0.25">
      <c r="A54" s="3"/>
      <c r="B54" s="3" t="s">
        <v>22</v>
      </c>
      <c r="C54" s="130"/>
      <c r="D54" s="140">
        <f>$C$52*6.5/$K$52</f>
        <v>5.5</v>
      </c>
      <c r="E54" s="140">
        <f>$C$52*6.5/$K$52</f>
        <v>5.5</v>
      </c>
      <c r="F54" s="4"/>
      <c r="G54" s="4"/>
      <c r="H54" s="4"/>
      <c r="I54" s="4"/>
      <c r="J54" s="3"/>
      <c r="K54" s="2"/>
      <c r="L54" s="2"/>
      <c r="M54" s="2"/>
    </row>
    <row r="55" spans="1:20" x14ac:dyDescent="0.25">
      <c r="A55" s="3"/>
      <c r="B55" s="3" t="s">
        <v>20</v>
      </c>
      <c r="C55" s="130"/>
      <c r="D55" s="140">
        <v>0.4</v>
      </c>
      <c r="E55" s="140">
        <v>0.4</v>
      </c>
      <c r="F55" s="4"/>
      <c r="G55" s="4"/>
      <c r="H55" s="4"/>
      <c r="I55" s="4"/>
      <c r="J55" s="3"/>
      <c r="K55" s="2"/>
      <c r="L55" s="2"/>
      <c r="M55" s="2"/>
    </row>
    <row r="56" spans="1:20" x14ac:dyDescent="0.25">
      <c r="A56" s="3"/>
      <c r="B56" s="250" t="s">
        <v>439</v>
      </c>
      <c r="C56" s="175">
        <v>150</v>
      </c>
      <c r="D56" s="170"/>
      <c r="E56" s="170"/>
      <c r="F56" s="46">
        <v>5.1999999999999998E-2</v>
      </c>
      <c r="G56" s="46">
        <v>7.0000000000000001E-3</v>
      </c>
      <c r="H56" s="46">
        <v>11.47</v>
      </c>
      <c r="I56" s="46">
        <v>46.21</v>
      </c>
      <c r="J56" s="4" t="s">
        <v>440</v>
      </c>
      <c r="K56" s="251">
        <v>180</v>
      </c>
      <c r="L56" s="67"/>
      <c r="M56" s="67"/>
    </row>
    <row r="57" spans="1:20" x14ac:dyDescent="0.25">
      <c r="A57" s="3"/>
      <c r="B57" s="66" t="s">
        <v>187</v>
      </c>
      <c r="C57" s="66"/>
      <c r="D57" s="127">
        <v>0.75</v>
      </c>
      <c r="E57" s="127">
        <v>0.75</v>
      </c>
      <c r="F57" s="4"/>
      <c r="G57" s="4"/>
      <c r="H57" s="4"/>
      <c r="I57" s="4"/>
      <c r="J57" s="4" t="s">
        <v>16</v>
      </c>
      <c r="K57" s="2"/>
      <c r="L57" s="2"/>
      <c r="M57" s="2"/>
    </row>
    <row r="58" spans="1:20" x14ac:dyDescent="0.25">
      <c r="A58" s="3"/>
      <c r="B58" s="66" t="s">
        <v>19</v>
      </c>
      <c r="C58" s="66"/>
      <c r="D58" s="127">
        <v>5.25</v>
      </c>
      <c r="E58" s="127">
        <v>5.25</v>
      </c>
      <c r="F58" s="4"/>
      <c r="G58" s="4"/>
      <c r="H58" s="4"/>
      <c r="I58" s="4"/>
      <c r="J58" s="4"/>
      <c r="K58" s="2"/>
      <c r="L58" s="2"/>
      <c r="M58" s="2"/>
    </row>
    <row r="59" spans="1:20" x14ac:dyDescent="0.25">
      <c r="A59" s="3"/>
      <c r="B59" s="66" t="s">
        <v>444</v>
      </c>
      <c r="C59" s="66"/>
      <c r="D59" s="127">
        <v>7.2</v>
      </c>
      <c r="E59" s="127">
        <v>6.3</v>
      </c>
      <c r="F59" s="4"/>
      <c r="G59" s="4"/>
      <c r="H59" s="4"/>
      <c r="I59" s="4"/>
      <c r="J59" s="4"/>
      <c r="K59" s="2"/>
      <c r="L59" s="2"/>
      <c r="M59" s="2"/>
    </row>
    <row r="60" spans="1:20" x14ac:dyDescent="0.25">
      <c r="A60" s="3"/>
      <c r="B60" s="66" t="s">
        <v>27</v>
      </c>
      <c r="C60" s="122"/>
      <c r="D60" s="127">
        <v>150</v>
      </c>
      <c r="E60" s="127">
        <v>150</v>
      </c>
      <c r="F60" s="4"/>
      <c r="G60" s="4"/>
      <c r="H60" s="4"/>
      <c r="I60" s="4"/>
      <c r="J60" s="3"/>
      <c r="K60" s="2"/>
      <c r="L60" s="2"/>
      <c r="M60" s="2"/>
    </row>
    <row r="61" spans="1:20" x14ac:dyDescent="0.25">
      <c r="A61" s="3"/>
      <c r="B61" s="97" t="s">
        <v>28</v>
      </c>
      <c r="C61" s="129">
        <v>20</v>
      </c>
      <c r="D61" s="130">
        <v>20</v>
      </c>
      <c r="E61" s="130">
        <v>20</v>
      </c>
      <c r="F61" s="126">
        <v>1.52</v>
      </c>
      <c r="G61" s="126">
        <v>0.18</v>
      </c>
      <c r="H61" s="126">
        <v>9.34</v>
      </c>
      <c r="I61" s="126">
        <v>46.2</v>
      </c>
      <c r="J61" s="3"/>
      <c r="K61" s="72">
        <v>20</v>
      </c>
      <c r="L61" s="2"/>
      <c r="M61" s="2"/>
    </row>
    <row r="62" spans="1:20" x14ac:dyDescent="0.25">
      <c r="A62" s="3"/>
      <c r="B62" s="125" t="s">
        <v>84</v>
      </c>
      <c r="C62" s="129">
        <v>10</v>
      </c>
      <c r="D62" s="130">
        <f>C62</f>
        <v>10</v>
      </c>
      <c r="E62" s="130">
        <f>C62</f>
        <v>10</v>
      </c>
      <c r="F62" s="129">
        <f>C62*1.54/K62</f>
        <v>0.77</v>
      </c>
      <c r="G62" s="129">
        <f>C62*0.28/K62</f>
        <v>0.14000000000000001</v>
      </c>
      <c r="H62" s="129">
        <f>C62*7.52/K62</f>
        <v>3.7599999999999993</v>
      </c>
      <c r="I62" s="129">
        <f>C62*40.2/K62</f>
        <v>20.100000000000001</v>
      </c>
      <c r="J62" s="3"/>
      <c r="K62" s="72">
        <v>20</v>
      </c>
      <c r="L62" s="2"/>
      <c r="M62" s="2"/>
    </row>
    <row r="63" spans="1:20" x14ac:dyDescent="0.25">
      <c r="A63" s="5" t="s">
        <v>69</v>
      </c>
      <c r="B63" s="6"/>
      <c r="C63" s="8">
        <f>SUM(C25:C62)</f>
        <v>705</v>
      </c>
      <c r="D63" s="81"/>
      <c r="E63" s="81"/>
      <c r="F63" s="165">
        <f>SUM(F25:F62)</f>
        <v>28.670901098901098</v>
      </c>
      <c r="G63" s="165">
        <f>SUM(G25:G62)</f>
        <v>31.823043956043961</v>
      </c>
      <c r="H63" s="165">
        <f>SUM(H25:H62)</f>
        <v>64.277142857142863</v>
      </c>
      <c r="I63" s="165">
        <f>SUM(I25:I62)</f>
        <v>661.15615384615387</v>
      </c>
      <c r="J63" s="6"/>
      <c r="K63" s="2"/>
      <c r="L63" s="2"/>
      <c r="M63" s="2"/>
    </row>
    <row r="64" spans="1:20" ht="31.5" x14ac:dyDescent="0.25">
      <c r="A64" s="166" t="s">
        <v>70</v>
      </c>
      <c r="B64" s="252" t="s">
        <v>414</v>
      </c>
      <c r="C64" s="253">
        <v>50</v>
      </c>
      <c r="D64" s="254"/>
      <c r="E64" s="254"/>
      <c r="F64" s="219">
        <v>5.9</v>
      </c>
      <c r="G64" s="219">
        <v>2.19</v>
      </c>
      <c r="H64" s="219">
        <v>34.79</v>
      </c>
      <c r="I64" s="219">
        <v>182.55</v>
      </c>
      <c r="J64" s="166" t="s">
        <v>283</v>
      </c>
      <c r="K64" s="255"/>
      <c r="L64" s="256"/>
      <c r="M64" s="257"/>
      <c r="N64" s="258"/>
      <c r="O64" s="258"/>
      <c r="P64" s="259"/>
      <c r="Q64" s="259"/>
      <c r="R64" s="259"/>
      <c r="S64" s="259"/>
      <c r="T64" s="158"/>
    </row>
    <row r="65" spans="1:20" x14ac:dyDescent="0.25">
      <c r="A65" s="166"/>
      <c r="B65" s="3" t="s">
        <v>212</v>
      </c>
      <c r="C65" s="3"/>
      <c r="D65" s="80" t="s">
        <v>173</v>
      </c>
      <c r="E65" s="80">
        <v>38.6</v>
      </c>
      <c r="F65" s="3"/>
      <c r="G65" s="3"/>
      <c r="H65" s="3"/>
      <c r="I65" s="3"/>
      <c r="J65" s="4" t="s">
        <v>16</v>
      </c>
      <c r="K65" s="2"/>
      <c r="L65" s="260"/>
      <c r="M65" s="258"/>
      <c r="N65" s="261"/>
      <c r="O65" s="262"/>
      <c r="P65" s="263"/>
      <c r="Q65" s="259"/>
      <c r="R65" s="259"/>
      <c r="S65" s="259"/>
      <c r="T65" s="94"/>
    </row>
    <row r="66" spans="1:20" x14ac:dyDescent="0.25">
      <c r="A66" s="166"/>
      <c r="B66" s="3" t="s">
        <v>56</v>
      </c>
      <c r="C66" s="3"/>
      <c r="D66" s="80">
        <v>25</v>
      </c>
      <c r="E66" s="80">
        <v>25</v>
      </c>
      <c r="F66" s="3"/>
      <c r="G66" s="3"/>
      <c r="H66" s="3"/>
      <c r="I66" s="3"/>
      <c r="J66" s="4"/>
      <c r="K66" s="2"/>
      <c r="L66" s="260"/>
      <c r="M66" s="258"/>
      <c r="N66" s="261"/>
      <c r="O66" s="261"/>
      <c r="P66" s="263"/>
      <c r="Q66" s="259"/>
      <c r="R66" s="259"/>
      <c r="S66" s="259"/>
      <c r="T66" s="162"/>
    </row>
    <row r="67" spans="1:20" x14ac:dyDescent="0.25">
      <c r="A67" s="166"/>
      <c r="B67" s="3" t="s">
        <v>19</v>
      </c>
      <c r="C67" s="3"/>
      <c r="D67" s="80">
        <v>1.35</v>
      </c>
      <c r="E67" s="80">
        <v>1.35</v>
      </c>
      <c r="F67" s="3"/>
      <c r="G67" s="3"/>
      <c r="H67" s="3"/>
      <c r="I67" s="3"/>
      <c r="J67" s="4"/>
      <c r="K67" s="2"/>
      <c r="L67" s="260"/>
      <c r="M67" s="258"/>
      <c r="N67" s="261"/>
      <c r="O67" s="261"/>
      <c r="P67" s="263"/>
      <c r="Q67" s="259"/>
      <c r="R67" s="259"/>
      <c r="S67" s="259"/>
      <c r="T67" s="162"/>
    </row>
    <row r="68" spans="1:20" x14ac:dyDescent="0.25">
      <c r="A68" s="166"/>
      <c r="B68" s="3" t="s">
        <v>22</v>
      </c>
      <c r="C68" s="3"/>
      <c r="D68" s="80">
        <v>1</v>
      </c>
      <c r="E68" s="80">
        <v>1</v>
      </c>
      <c r="F68" s="3"/>
      <c r="G68" s="3"/>
      <c r="H68" s="3"/>
      <c r="I68" s="3"/>
      <c r="J68" s="4"/>
      <c r="K68" s="2"/>
      <c r="L68" s="264"/>
      <c r="M68" s="258"/>
      <c r="N68" s="261"/>
      <c r="O68" s="261"/>
      <c r="P68" s="263"/>
      <c r="Q68" s="259"/>
      <c r="R68" s="259"/>
      <c r="S68" s="259"/>
      <c r="T68" s="162"/>
    </row>
    <row r="69" spans="1:20" x14ac:dyDescent="0.25">
      <c r="A69" s="166"/>
      <c r="B69" s="3" t="s">
        <v>191</v>
      </c>
      <c r="C69" s="3"/>
      <c r="D69" s="265" t="s">
        <v>415</v>
      </c>
      <c r="E69" s="80">
        <v>1.25</v>
      </c>
      <c r="F69" s="3"/>
      <c r="G69" s="3"/>
      <c r="H69" s="3"/>
      <c r="I69" s="3"/>
      <c r="J69" s="4"/>
      <c r="K69" s="2"/>
      <c r="L69" s="264"/>
      <c r="M69" s="258"/>
      <c r="N69" s="261"/>
      <c r="O69" s="262"/>
      <c r="P69" s="263"/>
      <c r="Q69" s="259"/>
      <c r="R69" s="259"/>
      <c r="S69" s="259"/>
      <c r="T69" s="162"/>
    </row>
    <row r="70" spans="1:20" x14ac:dyDescent="0.25">
      <c r="A70" s="166"/>
      <c r="B70" s="3" t="s">
        <v>20</v>
      </c>
      <c r="C70" s="3"/>
      <c r="D70" s="80">
        <v>0.4</v>
      </c>
      <c r="E70" s="80">
        <v>0.4</v>
      </c>
      <c r="F70" s="3"/>
      <c r="G70" s="3"/>
      <c r="H70" s="3"/>
      <c r="I70" s="3"/>
      <c r="J70" s="4"/>
      <c r="K70" s="2"/>
      <c r="L70" s="264"/>
      <c r="M70" s="258"/>
      <c r="N70" s="261"/>
      <c r="O70" s="261"/>
      <c r="P70" s="263"/>
      <c r="Q70" s="259"/>
      <c r="R70" s="259"/>
      <c r="S70" s="259"/>
      <c r="T70" s="162"/>
    </row>
    <row r="71" spans="1:20" x14ac:dyDescent="0.25">
      <c r="A71" s="166"/>
      <c r="B71" s="3" t="s">
        <v>171</v>
      </c>
      <c r="C71" s="66"/>
      <c r="D71" s="127">
        <v>0.75</v>
      </c>
      <c r="E71" s="127">
        <v>0.75</v>
      </c>
      <c r="F71" s="3"/>
      <c r="G71" s="3"/>
      <c r="H71" s="3"/>
      <c r="I71" s="3"/>
      <c r="J71" s="4"/>
      <c r="K71" s="2"/>
      <c r="L71" s="264"/>
      <c r="M71" s="258"/>
      <c r="N71" s="266"/>
      <c r="O71" s="266"/>
      <c r="P71" s="263"/>
      <c r="Q71" s="259"/>
      <c r="R71" s="259"/>
      <c r="S71" s="259"/>
      <c r="T71" s="162"/>
    </row>
    <row r="72" spans="1:20" x14ac:dyDescent="0.25">
      <c r="A72" s="166"/>
      <c r="B72" s="3" t="s">
        <v>26</v>
      </c>
      <c r="C72" s="66"/>
      <c r="D72" s="127">
        <v>10</v>
      </c>
      <c r="E72" s="127">
        <v>10</v>
      </c>
      <c r="F72" s="3"/>
      <c r="G72" s="3"/>
      <c r="H72" s="3"/>
      <c r="I72" s="3"/>
      <c r="J72" s="4"/>
      <c r="K72" s="2"/>
      <c r="L72" s="264"/>
      <c r="M72" s="258"/>
      <c r="N72" s="261"/>
      <c r="O72" s="261"/>
      <c r="P72" s="263"/>
      <c r="Q72" s="259"/>
      <c r="R72" s="259"/>
      <c r="S72" s="259"/>
      <c r="T72" s="162"/>
    </row>
    <row r="73" spans="1:20" x14ac:dyDescent="0.25">
      <c r="A73" s="166"/>
      <c r="B73" s="3" t="s">
        <v>213</v>
      </c>
      <c r="C73" s="3"/>
      <c r="D73" s="80">
        <v>1.1499999999999999</v>
      </c>
      <c r="E73" s="80">
        <v>1.1499999999999999</v>
      </c>
      <c r="F73" s="3"/>
      <c r="G73" s="3"/>
      <c r="H73" s="3"/>
      <c r="I73" s="3"/>
      <c r="J73" s="4"/>
      <c r="K73" s="2"/>
      <c r="L73" s="260"/>
      <c r="M73" s="258"/>
      <c r="N73" s="267"/>
      <c r="O73" s="267"/>
      <c r="P73" s="263"/>
      <c r="Q73" s="259"/>
      <c r="R73" s="259"/>
      <c r="S73" s="259"/>
      <c r="T73" s="162"/>
    </row>
    <row r="74" spans="1:20" x14ac:dyDescent="0.25">
      <c r="A74" s="166"/>
      <c r="B74" s="268" t="s">
        <v>417</v>
      </c>
      <c r="C74" s="254"/>
      <c r="D74" s="269" t="s">
        <v>173</v>
      </c>
      <c r="E74" s="269">
        <v>25</v>
      </c>
      <c r="F74" s="3"/>
      <c r="G74" s="3"/>
      <c r="H74" s="3"/>
      <c r="I74" s="3"/>
      <c r="J74" s="4"/>
      <c r="K74" s="2"/>
      <c r="L74" s="260"/>
      <c r="M74" s="258"/>
      <c r="N74" s="267"/>
      <c r="O74" s="267"/>
      <c r="P74" s="263"/>
      <c r="Q74" s="259"/>
      <c r="R74" s="259"/>
      <c r="S74" s="259"/>
      <c r="T74" s="162"/>
    </row>
    <row r="75" spans="1:20" x14ac:dyDescent="0.25">
      <c r="A75" s="166"/>
      <c r="B75" s="268" t="s">
        <v>262</v>
      </c>
      <c r="C75" s="3"/>
      <c r="D75" s="80">
        <v>22.9</v>
      </c>
      <c r="E75" s="80">
        <v>22.6</v>
      </c>
      <c r="F75" s="3"/>
      <c r="G75" s="3"/>
      <c r="H75" s="3"/>
      <c r="I75" s="3"/>
      <c r="J75" s="4"/>
      <c r="K75" s="2"/>
      <c r="L75" s="260"/>
      <c r="M75" s="258"/>
      <c r="N75" s="267"/>
      <c r="O75" s="270"/>
      <c r="P75" s="263"/>
      <c r="Q75" s="259"/>
      <c r="R75" s="259"/>
      <c r="S75" s="259"/>
      <c r="T75" s="162"/>
    </row>
    <row r="76" spans="1:20" x14ac:dyDescent="0.25">
      <c r="A76" s="166"/>
      <c r="B76" s="268" t="s">
        <v>19</v>
      </c>
      <c r="C76" s="254"/>
      <c r="D76" s="269">
        <v>1.25</v>
      </c>
      <c r="E76" s="269">
        <v>1.25</v>
      </c>
      <c r="F76" s="3"/>
      <c r="G76" s="3"/>
      <c r="H76" s="3"/>
      <c r="I76" s="3"/>
      <c r="J76" s="171"/>
      <c r="K76" s="2"/>
      <c r="L76" s="260"/>
      <c r="M76" s="258"/>
      <c r="N76" s="267"/>
      <c r="O76" s="267"/>
      <c r="P76" s="263"/>
      <c r="Q76" s="259"/>
      <c r="R76" s="259"/>
      <c r="S76" s="259"/>
      <c r="T76" s="162"/>
    </row>
    <row r="77" spans="1:20" x14ac:dyDescent="0.25">
      <c r="A77" s="166"/>
      <c r="B77" s="268" t="s">
        <v>78</v>
      </c>
      <c r="C77" s="254"/>
      <c r="D77" s="269" t="s">
        <v>375</v>
      </c>
      <c r="E77" s="269">
        <v>1</v>
      </c>
      <c r="F77" s="3"/>
      <c r="G77" s="3"/>
      <c r="H77" s="3"/>
      <c r="I77" s="3"/>
      <c r="J77" s="171"/>
      <c r="K77" s="2"/>
      <c r="L77" s="260"/>
      <c r="M77" s="258"/>
      <c r="N77" s="267"/>
      <c r="O77" s="267"/>
      <c r="P77" s="263"/>
      <c r="Q77" s="259"/>
      <c r="R77" s="259"/>
      <c r="S77" s="259"/>
      <c r="T77" s="162"/>
    </row>
    <row r="78" spans="1:20" x14ac:dyDescent="0.25">
      <c r="A78" s="166"/>
      <c r="B78" s="268" t="s">
        <v>56</v>
      </c>
      <c r="C78" s="254"/>
      <c r="D78" s="269">
        <v>1</v>
      </c>
      <c r="E78" s="269">
        <v>1</v>
      </c>
      <c r="F78" s="3"/>
      <c r="G78" s="3"/>
      <c r="H78" s="3"/>
      <c r="I78" s="3"/>
      <c r="J78" s="171"/>
      <c r="K78" s="2"/>
      <c r="L78" s="260"/>
      <c r="M78" s="258"/>
      <c r="N78" s="267"/>
      <c r="O78" s="267"/>
      <c r="P78" s="263"/>
      <c r="Q78" s="259"/>
      <c r="R78" s="259"/>
      <c r="S78" s="259"/>
      <c r="T78" s="162"/>
    </row>
    <row r="79" spans="1:20" x14ac:dyDescent="0.25">
      <c r="A79" s="166"/>
      <c r="B79" s="268" t="s">
        <v>356</v>
      </c>
      <c r="C79" s="254"/>
      <c r="D79" s="269">
        <v>3.0000000000000001E-3</v>
      </c>
      <c r="E79" s="269">
        <v>3.0000000000000001E-3</v>
      </c>
      <c r="F79" s="3"/>
      <c r="G79" s="3"/>
      <c r="H79" s="3"/>
      <c r="I79" s="3"/>
      <c r="J79" s="171"/>
      <c r="K79" s="2"/>
      <c r="L79" s="260"/>
      <c r="M79" s="258"/>
      <c r="N79" s="267"/>
      <c r="O79" s="267"/>
      <c r="P79" s="263"/>
      <c r="Q79" s="259"/>
      <c r="R79" s="259"/>
      <c r="S79" s="259"/>
      <c r="T79" s="162"/>
    </row>
    <row r="80" spans="1:20" ht="31.5" x14ac:dyDescent="0.25">
      <c r="A80" s="166"/>
      <c r="B80" s="147" t="s">
        <v>175</v>
      </c>
      <c r="C80" s="3"/>
      <c r="D80" s="80">
        <v>0.16</v>
      </c>
      <c r="E80" s="80">
        <v>0.16</v>
      </c>
      <c r="F80" s="3"/>
      <c r="G80" s="3"/>
      <c r="H80" s="3"/>
      <c r="I80" s="3"/>
      <c r="J80" s="171"/>
      <c r="K80" s="2"/>
      <c r="L80" s="2"/>
      <c r="M80" s="2"/>
    </row>
    <row r="81" spans="1:13" x14ac:dyDescent="0.25">
      <c r="A81" s="166"/>
      <c r="B81" s="268" t="s">
        <v>281</v>
      </c>
      <c r="C81" s="3"/>
      <c r="D81" s="80" t="s">
        <v>375</v>
      </c>
      <c r="E81" s="80">
        <v>1</v>
      </c>
      <c r="F81" s="3"/>
      <c r="G81" s="3"/>
      <c r="H81" s="3"/>
      <c r="I81" s="3"/>
      <c r="J81" s="171"/>
      <c r="K81" s="2"/>
      <c r="L81" s="2"/>
      <c r="M81" s="2"/>
    </row>
    <row r="82" spans="1:13" x14ac:dyDescent="0.25">
      <c r="A82" s="166"/>
      <c r="B82" s="172" t="s">
        <v>151</v>
      </c>
      <c r="C82" s="173">
        <v>180</v>
      </c>
      <c r="D82" s="271">
        <v>189</v>
      </c>
      <c r="E82" s="271">
        <v>180</v>
      </c>
      <c r="F82" s="175">
        <v>5.0199999999999996</v>
      </c>
      <c r="G82" s="175">
        <v>5.74</v>
      </c>
      <c r="H82" s="175">
        <v>8.44</v>
      </c>
      <c r="I82" s="175">
        <v>105.57</v>
      </c>
      <c r="J82" s="166" t="s">
        <v>441</v>
      </c>
      <c r="K82" s="2"/>
      <c r="L82" s="2"/>
      <c r="M82" s="2"/>
    </row>
    <row r="83" spans="1:13" x14ac:dyDescent="0.25">
      <c r="A83" s="5" t="s">
        <v>72</v>
      </c>
      <c r="B83" s="6"/>
      <c r="C83" s="8">
        <f>SUM(C64:C82)</f>
        <v>230</v>
      </c>
      <c r="D83" s="81"/>
      <c r="E83" s="81"/>
      <c r="F83" s="165">
        <f>SUM(F64:F82)</f>
        <v>10.92</v>
      </c>
      <c r="G83" s="165">
        <f>SUM(G64:G82)</f>
        <v>7.93</v>
      </c>
      <c r="H83" s="165">
        <f>SUM(H64:H82)</f>
        <v>43.23</v>
      </c>
      <c r="I83" s="165">
        <f>SUM(I64:I82)</f>
        <v>288.12</v>
      </c>
      <c r="J83" s="6"/>
      <c r="K83" s="2"/>
      <c r="L83" s="2"/>
      <c r="M83" s="2"/>
    </row>
    <row r="84" spans="1:13" ht="31.5" x14ac:dyDescent="0.25">
      <c r="A84" s="166" t="s">
        <v>73</v>
      </c>
      <c r="B84" s="125" t="s">
        <v>218</v>
      </c>
      <c r="C84" s="168">
        <v>60</v>
      </c>
      <c r="D84" s="272"/>
      <c r="E84" s="272"/>
      <c r="F84" s="177">
        <v>10.42</v>
      </c>
      <c r="G84" s="177">
        <f>C84*10.64/K84</f>
        <v>9.120000000000001</v>
      </c>
      <c r="H84" s="177">
        <v>5.83</v>
      </c>
      <c r="I84" s="177">
        <f>C84*171.27/K84</f>
        <v>146.80285714285716</v>
      </c>
      <c r="J84" s="166" t="s">
        <v>221</v>
      </c>
      <c r="K84" s="2">
        <v>70</v>
      </c>
      <c r="L84" s="2"/>
      <c r="M84" s="2"/>
    </row>
    <row r="85" spans="1:13" ht="31.5" x14ac:dyDescent="0.25">
      <c r="A85" s="166"/>
      <c r="B85" s="123" t="s">
        <v>219</v>
      </c>
      <c r="C85" s="168"/>
      <c r="D85" s="178">
        <v>72</v>
      </c>
      <c r="E85" s="273">
        <v>50</v>
      </c>
      <c r="F85" s="177"/>
      <c r="G85" s="177"/>
      <c r="H85" s="177"/>
      <c r="I85" s="177"/>
      <c r="J85" s="4" t="s">
        <v>16</v>
      </c>
      <c r="K85" s="2"/>
      <c r="L85" s="2"/>
      <c r="M85" s="2"/>
    </row>
    <row r="86" spans="1:13" x14ac:dyDescent="0.25">
      <c r="A86" s="166"/>
      <c r="B86" s="123" t="s">
        <v>220</v>
      </c>
      <c r="C86" s="168"/>
      <c r="D86" s="178">
        <f>$C$84*9/$K$84</f>
        <v>7.7142857142857144</v>
      </c>
      <c r="E86" s="178">
        <f>$C$84*9/$K$84</f>
        <v>7.7142857142857144</v>
      </c>
      <c r="F86" s="177"/>
      <c r="G86" s="177"/>
      <c r="H86" s="177"/>
      <c r="I86" s="177"/>
      <c r="J86" s="4"/>
      <c r="K86" s="2"/>
      <c r="L86" s="2"/>
      <c r="M86" s="2"/>
    </row>
    <row r="87" spans="1:13" x14ac:dyDescent="0.25">
      <c r="A87" s="166"/>
      <c r="B87" s="123" t="s">
        <v>145</v>
      </c>
      <c r="C87" s="168"/>
      <c r="D87" s="178" t="s">
        <v>150</v>
      </c>
      <c r="E87" s="178">
        <f>C84*6/K84</f>
        <v>5.1428571428571432</v>
      </c>
      <c r="F87" s="177"/>
      <c r="G87" s="177"/>
      <c r="H87" s="177"/>
      <c r="I87" s="177"/>
      <c r="J87" s="4"/>
      <c r="K87" s="2"/>
      <c r="L87" s="2"/>
      <c r="M87" s="2"/>
    </row>
    <row r="88" spans="1:13" x14ac:dyDescent="0.25">
      <c r="A88" s="166"/>
      <c r="B88" s="123" t="s">
        <v>144</v>
      </c>
      <c r="C88" s="168"/>
      <c r="D88" s="178">
        <v>13</v>
      </c>
      <c r="E88" s="178">
        <v>13</v>
      </c>
      <c r="F88" s="177"/>
      <c r="G88" s="177"/>
      <c r="H88" s="177"/>
      <c r="I88" s="177"/>
      <c r="J88" s="4"/>
      <c r="K88" s="2"/>
      <c r="L88" s="2"/>
      <c r="M88" s="2"/>
    </row>
    <row r="89" spans="1:13" x14ac:dyDescent="0.25">
      <c r="A89" s="166"/>
      <c r="B89" s="123" t="s">
        <v>105</v>
      </c>
      <c r="C89" s="168"/>
      <c r="D89" s="178">
        <f>$C$84*3/$K$84</f>
        <v>2.5714285714285716</v>
      </c>
      <c r="E89" s="178">
        <f>$C$84*3/$K$84</f>
        <v>2.5714285714285716</v>
      </c>
      <c r="F89" s="177"/>
      <c r="G89" s="177"/>
      <c r="H89" s="177"/>
      <c r="I89" s="177"/>
      <c r="J89" s="4"/>
      <c r="K89" s="2"/>
      <c r="L89" s="2"/>
      <c r="M89" s="2"/>
    </row>
    <row r="90" spans="1:13" x14ac:dyDescent="0.25">
      <c r="A90" s="166"/>
      <c r="B90" s="66" t="s">
        <v>20</v>
      </c>
      <c r="C90" s="168"/>
      <c r="D90" s="178">
        <v>0.3</v>
      </c>
      <c r="E90" s="178">
        <v>0.3</v>
      </c>
      <c r="F90" s="177"/>
      <c r="G90" s="177"/>
      <c r="H90" s="177"/>
      <c r="I90" s="177"/>
      <c r="J90" s="171"/>
      <c r="K90" s="2"/>
      <c r="L90" s="2"/>
      <c r="M90" s="2"/>
    </row>
    <row r="91" spans="1:13" ht="28.5" customHeight="1" x14ac:dyDescent="0.25">
      <c r="A91" s="166"/>
      <c r="B91" s="274" t="s">
        <v>288</v>
      </c>
      <c r="C91" s="236">
        <v>120</v>
      </c>
      <c r="D91" s="244"/>
      <c r="E91" s="244"/>
      <c r="F91" s="236">
        <v>2.37</v>
      </c>
      <c r="G91" s="236">
        <f>C91*10.92/K91</f>
        <v>8.7360000000000007</v>
      </c>
      <c r="H91" s="236">
        <f>C91*19.14/K91</f>
        <v>15.312000000000001</v>
      </c>
      <c r="I91" s="236">
        <f>C91*205.41/K91</f>
        <v>164.328</v>
      </c>
      <c r="J91" s="155" t="s">
        <v>290</v>
      </c>
      <c r="K91" s="2">
        <v>150</v>
      </c>
      <c r="L91" s="2"/>
      <c r="M91" s="2"/>
    </row>
    <row r="92" spans="1:13" x14ac:dyDescent="0.25">
      <c r="A92" s="166"/>
      <c r="B92" s="239" t="s">
        <v>47</v>
      </c>
      <c r="C92" s="236"/>
      <c r="D92" s="244">
        <f>C91*148/K91</f>
        <v>118.4</v>
      </c>
      <c r="E92" s="244">
        <f>C91*111/K91</f>
        <v>88.8</v>
      </c>
      <c r="F92" s="236"/>
      <c r="G92" s="236"/>
      <c r="H92" s="236"/>
      <c r="I92" s="236"/>
      <c r="J92" s="275" t="s">
        <v>42</v>
      </c>
      <c r="K92" s="2"/>
      <c r="L92" s="2"/>
      <c r="M92" s="2"/>
    </row>
    <row r="93" spans="1:13" x14ac:dyDescent="0.25">
      <c r="A93" s="166"/>
      <c r="B93" s="239" t="s">
        <v>50</v>
      </c>
      <c r="C93" s="236"/>
      <c r="D93" s="244">
        <f>$C$91*6/$K$91</f>
        <v>4.8</v>
      </c>
      <c r="E93" s="244">
        <f>$C$91*6/$K$91</f>
        <v>4.8</v>
      </c>
      <c r="F93" s="236"/>
      <c r="G93" s="236"/>
      <c r="H93" s="236"/>
      <c r="I93" s="236"/>
      <c r="J93" s="275"/>
      <c r="K93" s="2"/>
      <c r="L93" s="2"/>
      <c r="M93" s="2"/>
    </row>
    <row r="94" spans="1:13" x14ac:dyDescent="0.25">
      <c r="A94" s="166"/>
      <c r="B94" s="239" t="s">
        <v>49</v>
      </c>
      <c r="C94" s="236"/>
      <c r="D94" s="244">
        <f>$C$91*36/$K$91</f>
        <v>28.8</v>
      </c>
      <c r="E94" s="244">
        <f>C91*30/K91</f>
        <v>24</v>
      </c>
      <c r="F94" s="236"/>
      <c r="G94" s="236"/>
      <c r="H94" s="236"/>
      <c r="I94" s="236"/>
      <c r="J94" s="275"/>
      <c r="K94" s="2"/>
      <c r="L94" s="2"/>
      <c r="M94" s="2"/>
    </row>
    <row r="95" spans="1:13" x14ac:dyDescent="0.25">
      <c r="A95" s="166"/>
      <c r="B95" s="239" t="s">
        <v>22</v>
      </c>
      <c r="C95" s="236"/>
      <c r="D95" s="244">
        <f>$C$91*3/K91</f>
        <v>2.4</v>
      </c>
      <c r="E95" s="244">
        <f>$C$91*3/K91</f>
        <v>2.4</v>
      </c>
      <c r="F95" s="236"/>
      <c r="G95" s="236"/>
      <c r="H95" s="236"/>
      <c r="I95" s="236"/>
      <c r="J95" s="275"/>
      <c r="K95" s="2"/>
      <c r="L95" s="2"/>
      <c r="M95" s="2"/>
    </row>
    <row r="96" spans="1:13" ht="18.75" customHeight="1" x14ac:dyDescent="0.25">
      <c r="A96" s="166"/>
      <c r="B96" s="239" t="s">
        <v>163</v>
      </c>
      <c r="C96" s="236"/>
      <c r="D96" s="244" t="s">
        <v>173</v>
      </c>
      <c r="E96" s="244">
        <f>C91*15/K91</f>
        <v>12</v>
      </c>
      <c r="F96" s="236"/>
      <c r="G96" s="236"/>
      <c r="H96" s="236"/>
      <c r="I96" s="236"/>
      <c r="J96" s="275"/>
      <c r="K96" s="2"/>
      <c r="L96" s="2"/>
      <c r="M96" s="2"/>
    </row>
    <row r="97" spans="1:13" x14ac:dyDescent="0.25">
      <c r="A97" s="166"/>
      <c r="B97" s="239" t="s">
        <v>20</v>
      </c>
      <c r="C97" s="236"/>
      <c r="D97" s="244">
        <v>0.3</v>
      </c>
      <c r="E97" s="244">
        <v>0.3</v>
      </c>
      <c r="F97" s="236"/>
      <c r="G97" s="236"/>
      <c r="H97" s="236"/>
      <c r="I97" s="236"/>
      <c r="J97" s="275"/>
      <c r="K97" s="2"/>
      <c r="L97" s="2"/>
      <c r="M97" s="2"/>
    </row>
    <row r="98" spans="1:13" ht="15.75" customHeight="1" x14ac:dyDescent="0.25">
      <c r="A98" s="166"/>
      <c r="B98" s="276" t="s">
        <v>289</v>
      </c>
      <c r="C98" s="236"/>
      <c r="D98" s="244" t="s">
        <v>173</v>
      </c>
      <c r="E98" s="243">
        <f>$C$91*40/K91</f>
        <v>32</v>
      </c>
      <c r="F98" s="236"/>
      <c r="G98" s="236"/>
      <c r="H98" s="236"/>
      <c r="I98" s="236"/>
      <c r="J98" s="275"/>
      <c r="K98" s="2"/>
      <c r="L98" s="2"/>
      <c r="M98" s="2"/>
    </row>
    <row r="99" spans="1:13" x14ac:dyDescent="0.25">
      <c r="A99" s="166"/>
      <c r="B99" s="239" t="s">
        <v>56</v>
      </c>
      <c r="C99" s="236"/>
      <c r="D99" s="244">
        <f>$C$91*2/$K$91</f>
        <v>1.6</v>
      </c>
      <c r="E99" s="244">
        <f>$C$91*2/$K$91</f>
        <v>1.6</v>
      </c>
      <c r="F99" s="236"/>
      <c r="G99" s="236"/>
      <c r="H99" s="236"/>
      <c r="I99" s="236"/>
      <c r="J99" s="275"/>
      <c r="K99" s="2"/>
      <c r="L99" s="2"/>
      <c r="M99" s="2"/>
    </row>
    <row r="100" spans="1:13" x14ac:dyDescent="0.25">
      <c r="A100" s="166"/>
      <c r="B100" s="239" t="s">
        <v>22</v>
      </c>
      <c r="C100" s="236"/>
      <c r="D100" s="244">
        <f>$C$91*2/$K$91</f>
        <v>1.6</v>
      </c>
      <c r="E100" s="244">
        <f>$C$91*2/$K$91</f>
        <v>1.6</v>
      </c>
      <c r="F100" s="236"/>
      <c r="G100" s="236"/>
      <c r="H100" s="236"/>
      <c r="I100" s="236"/>
      <c r="J100" s="275"/>
      <c r="K100" s="2"/>
      <c r="L100" s="2"/>
      <c r="M100" s="2"/>
    </row>
    <row r="101" spans="1:13" x14ac:dyDescent="0.25">
      <c r="A101" s="166"/>
      <c r="B101" s="239" t="s">
        <v>55</v>
      </c>
      <c r="C101" s="236"/>
      <c r="D101" s="244">
        <f>$C$91*2.4/$K$91</f>
        <v>1.92</v>
      </c>
      <c r="E101" s="244">
        <f>$C$91*2.4/$K$91</f>
        <v>1.92</v>
      </c>
      <c r="F101" s="236"/>
      <c r="G101" s="236"/>
      <c r="H101" s="236"/>
      <c r="I101" s="236"/>
      <c r="J101" s="275"/>
      <c r="K101" s="2"/>
      <c r="L101" s="2"/>
      <c r="M101" s="2"/>
    </row>
    <row r="102" spans="1:13" x14ac:dyDescent="0.25">
      <c r="A102" s="166"/>
      <c r="B102" s="239" t="s">
        <v>19</v>
      </c>
      <c r="C102" s="236"/>
      <c r="D102" s="244">
        <f>$C$91*0.7/$K$91</f>
        <v>0.56000000000000005</v>
      </c>
      <c r="E102" s="244">
        <f>$C$91*0.7/$K$91</f>
        <v>0.56000000000000005</v>
      </c>
      <c r="F102" s="236"/>
      <c r="G102" s="236"/>
      <c r="H102" s="236"/>
      <c r="I102" s="236"/>
      <c r="J102" s="275"/>
      <c r="K102" s="2"/>
      <c r="L102" s="2"/>
      <c r="M102" s="2"/>
    </row>
    <row r="103" spans="1:13" x14ac:dyDescent="0.25">
      <c r="A103" s="166"/>
      <c r="B103" s="239" t="s">
        <v>20</v>
      </c>
      <c r="C103" s="236"/>
      <c r="D103" s="244">
        <v>0.1</v>
      </c>
      <c r="E103" s="244">
        <v>0.1</v>
      </c>
      <c r="F103" s="236"/>
      <c r="G103" s="236"/>
      <c r="H103" s="236"/>
      <c r="I103" s="236"/>
      <c r="J103" s="160"/>
      <c r="K103" s="2"/>
      <c r="L103" s="2"/>
      <c r="M103" s="2"/>
    </row>
    <row r="104" spans="1:13" x14ac:dyDescent="0.25">
      <c r="A104" s="166"/>
      <c r="B104" s="239" t="s">
        <v>27</v>
      </c>
      <c r="C104" s="236"/>
      <c r="D104" s="244">
        <f>$C$91*20/$K$91</f>
        <v>16</v>
      </c>
      <c r="E104" s="244">
        <f>$C$91*20/$K$91</f>
        <v>16</v>
      </c>
      <c r="F104" s="236"/>
      <c r="G104" s="236"/>
      <c r="H104" s="236"/>
      <c r="I104" s="236"/>
      <c r="J104" s="160"/>
      <c r="K104" s="2"/>
      <c r="L104" s="2"/>
      <c r="M104" s="2"/>
    </row>
    <row r="105" spans="1:13" ht="31.5" x14ac:dyDescent="0.25">
      <c r="A105" s="3"/>
      <c r="B105" s="15" t="s">
        <v>224</v>
      </c>
      <c r="C105" s="129">
        <v>180</v>
      </c>
      <c r="D105" s="80"/>
      <c r="E105" s="80"/>
      <c r="F105" s="46">
        <v>0.108</v>
      </c>
      <c r="G105" s="46">
        <v>0</v>
      </c>
      <c r="H105" s="46">
        <v>20.36</v>
      </c>
      <c r="I105" s="46">
        <v>79.42</v>
      </c>
      <c r="J105" s="275"/>
      <c r="K105" s="2"/>
      <c r="L105" s="2"/>
      <c r="M105" s="2"/>
    </row>
    <row r="106" spans="1:13" x14ac:dyDescent="0.25">
      <c r="A106" s="3"/>
      <c r="B106" s="3" t="s">
        <v>225</v>
      </c>
      <c r="C106" s="130"/>
      <c r="D106" s="80">
        <v>22.5</v>
      </c>
      <c r="E106" s="80">
        <v>22.5</v>
      </c>
      <c r="F106" s="4"/>
      <c r="G106" s="4"/>
      <c r="H106" s="4"/>
      <c r="I106" s="4"/>
      <c r="J106" s="275"/>
      <c r="K106" s="2"/>
      <c r="L106" s="2"/>
      <c r="M106" s="2"/>
    </row>
    <row r="107" spans="1:13" x14ac:dyDescent="0.25">
      <c r="A107" s="3"/>
      <c r="B107" s="3" t="s">
        <v>197</v>
      </c>
      <c r="C107" s="130"/>
      <c r="D107" s="80">
        <v>166.5</v>
      </c>
      <c r="E107" s="80">
        <v>166.5</v>
      </c>
      <c r="F107" s="4"/>
      <c r="G107" s="4"/>
      <c r="H107" s="4"/>
      <c r="I107" s="4"/>
      <c r="J107" s="3"/>
      <c r="K107" s="2"/>
      <c r="L107" s="2"/>
      <c r="M107" s="2"/>
    </row>
    <row r="108" spans="1:13" x14ac:dyDescent="0.25">
      <c r="A108" s="3"/>
      <c r="B108" s="97"/>
      <c r="C108" s="126"/>
      <c r="D108" s="127"/>
      <c r="E108" s="127"/>
      <c r="F108" s="126"/>
      <c r="G108" s="126"/>
      <c r="H108" s="126"/>
      <c r="I108" s="126"/>
      <c r="J108" s="3"/>
      <c r="K108" s="2">
        <v>100</v>
      </c>
      <c r="L108" s="2"/>
      <c r="M108" s="2"/>
    </row>
    <row r="109" spans="1:13" x14ac:dyDescent="0.25">
      <c r="A109" s="3"/>
      <c r="B109" s="97" t="s">
        <v>28</v>
      </c>
      <c r="C109" s="129">
        <v>20</v>
      </c>
      <c r="D109" s="130">
        <f>C109</f>
        <v>20</v>
      </c>
      <c r="E109" s="130">
        <f>C109</f>
        <v>20</v>
      </c>
      <c r="F109" s="126">
        <f>C109*1.52/20</f>
        <v>1.52</v>
      </c>
      <c r="G109" s="126">
        <f>C109*0.18/K109</f>
        <v>0.18</v>
      </c>
      <c r="H109" s="126">
        <f>C109*9.34/K109</f>
        <v>9.34</v>
      </c>
      <c r="I109" s="126">
        <f>C109*46.2/K109</f>
        <v>46.2</v>
      </c>
      <c r="J109" s="3"/>
      <c r="K109" s="72">
        <v>20</v>
      </c>
      <c r="L109" s="2"/>
      <c r="M109" s="2"/>
    </row>
    <row r="110" spans="1:13" x14ac:dyDescent="0.25">
      <c r="A110" s="3"/>
      <c r="B110" s="125" t="s">
        <v>84</v>
      </c>
      <c r="C110" s="129">
        <v>20</v>
      </c>
      <c r="D110" s="80">
        <f>C110</f>
        <v>20</v>
      </c>
      <c r="E110" s="80">
        <f>C110</f>
        <v>20</v>
      </c>
      <c r="F110" s="129">
        <f>C110*1.54/K110</f>
        <v>1.54</v>
      </c>
      <c r="G110" s="129">
        <f>C110*0.28/K110</f>
        <v>0.28000000000000003</v>
      </c>
      <c r="H110" s="129">
        <f>C110*7.52/K110</f>
        <v>7.5199999999999987</v>
      </c>
      <c r="I110" s="129">
        <f>C110*40.2/K110</f>
        <v>40.200000000000003</v>
      </c>
      <c r="J110" s="3"/>
      <c r="K110" s="72">
        <v>20</v>
      </c>
      <c r="L110" s="2"/>
      <c r="M110" s="2"/>
    </row>
    <row r="111" spans="1:13" x14ac:dyDescent="0.25">
      <c r="A111" s="5" t="s">
        <v>81</v>
      </c>
      <c r="B111" s="5"/>
      <c r="C111" s="8">
        <f>SUM(C84:C110)</f>
        <v>400</v>
      </c>
      <c r="D111" s="225"/>
      <c r="E111" s="225"/>
      <c r="F111" s="165">
        <f>SUM(F84:F110)</f>
        <v>15.957999999999998</v>
      </c>
      <c r="G111" s="165">
        <f>SUM(G84:G110)</f>
        <v>18.316000000000003</v>
      </c>
      <c r="H111" s="165">
        <f>SUM(H84:H110)</f>
        <v>58.361999999999995</v>
      </c>
      <c r="I111" s="165">
        <f>SUM(I84:I110)</f>
        <v>476.95085714285716</v>
      </c>
      <c r="J111" s="5"/>
      <c r="K111" s="2"/>
      <c r="L111" s="2"/>
      <c r="M111" s="2"/>
    </row>
    <row r="112" spans="1:13" x14ac:dyDescent="0.25">
      <c r="A112" s="13" t="s">
        <v>82</v>
      </c>
      <c r="B112" s="13"/>
      <c r="C112" s="13"/>
      <c r="D112" s="68"/>
      <c r="E112" s="68"/>
      <c r="F112" s="14">
        <f>F22+F24+F63+F83+F111</f>
        <v>68.576401098901101</v>
      </c>
      <c r="G112" s="14">
        <f>G22+G24+G63+G83+G111</f>
        <v>72.234043956043962</v>
      </c>
      <c r="H112" s="14">
        <f>H22+H24+H63+H83+H111</f>
        <v>208.00414285714285</v>
      </c>
      <c r="I112" s="14">
        <f>I22+I24+I63+I83+I111</f>
        <v>1776.0970109890111</v>
      </c>
      <c r="J112" s="13"/>
      <c r="K112" s="2"/>
      <c r="L112" s="2"/>
      <c r="M112" s="2"/>
    </row>
    <row r="113" spans="1:13" ht="16.5" thickBot="1" x14ac:dyDescent="0.3">
      <c r="J113" s="2"/>
      <c r="K113" s="2"/>
      <c r="L113" s="2"/>
      <c r="M113" s="2"/>
    </row>
    <row r="114" spans="1:13" ht="16.5" thickBot="1" x14ac:dyDescent="0.3">
      <c r="A114" s="182" t="s">
        <v>131</v>
      </c>
      <c r="B114" s="183" t="s">
        <v>132</v>
      </c>
      <c r="C114" s="184" t="s">
        <v>133</v>
      </c>
      <c r="D114" s="278" t="s">
        <v>134</v>
      </c>
      <c r="E114" s="279"/>
      <c r="F114" s="186"/>
      <c r="G114" s="186"/>
      <c r="H114" s="186"/>
      <c r="J114" s="2"/>
      <c r="K114" s="2"/>
      <c r="L114" s="2"/>
      <c r="M114" s="2"/>
    </row>
    <row r="115" spans="1:13" x14ac:dyDescent="0.25">
      <c r="A115" s="187" t="s">
        <v>135</v>
      </c>
      <c r="B115" s="188">
        <f>I22</f>
        <v>294.06000000000006</v>
      </c>
      <c r="C115" s="189">
        <f>B115/B120*100</f>
        <v>16.556528060156701</v>
      </c>
      <c r="D115" s="190">
        <v>0.2</v>
      </c>
      <c r="E115" s="280"/>
      <c r="F115" s="70"/>
      <c r="G115" s="191"/>
      <c r="H115" s="192"/>
      <c r="J115" s="2"/>
      <c r="K115" s="2"/>
      <c r="L115" s="2"/>
      <c r="M115" s="2"/>
    </row>
    <row r="116" spans="1:13" x14ac:dyDescent="0.25">
      <c r="A116" s="187" t="s">
        <v>136</v>
      </c>
      <c r="B116" s="188">
        <f>I24</f>
        <v>55.81</v>
      </c>
      <c r="C116" s="189">
        <f>B116/B120*100</f>
        <v>3.1422833130563328</v>
      </c>
      <c r="D116" s="190">
        <v>0.05</v>
      </c>
      <c r="E116" s="280"/>
      <c r="F116" s="70"/>
      <c r="G116" s="191"/>
      <c r="H116" s="192"/>
      <c r="J116" s="2"/>
      <c r="K116" s="2"/>
      <c r="L116" s="2"/>
      <c r="M116" s="2"/>
    </row>
    <row r="117" spans="1:13" x14ac:dyDescent="0.25">
      <c r="A117" s="193" t="s">
        <v>137</v>
      </c>
      <c r="B117" s="194">
        <f>I63</f>
        <v>661.15615384615387</v>
      </c>
      <c r="C117" s="195">
        <f>B117/B120*100</f>
        <v>37.225227549816786</v>
      </c>
      <c r="D117" s="196">
        <v>0.35</v>
      </c>
      <c r="E117" s="280"/>
      <c r="F117" s="70"/>
      <c r="G117" s="191"/>
      <c r="H117" s="157"/>
      <c r="J117" s="2"/>
      <c r="K117" s="2"/>
      <c r="L117" s="2"/>
      <c r="M117" s="2"/>
    </row>
    <row r="118" spans="1:13" x14ac:dyDescent="0.25">
      <c r="A118" s="193" t="s">
        <v>138</v>
      </c>
      <c r="B118" s="194">
        <f>I83</f>
        <v>288.12</v>
      </c>
      <c r="C118" s="195">
        <f>B118/B120*100</f>
        <v>16.222086868980302</v>
      </c>
      <c r="D118" s="196">
        <v>0.15</v>
      </c>
      <c r="E118" s="280"/>
      <c r="F118" s="70"/>
      <c r="G118" s="191"/>
      <c r="H118" s="192"/>
      <c r="J118" s="2"/>
      <c r="K118" s="2"/>
      <c r="L118" s="2"/>
      <c r="M118" s="2"/>
    </row>
    <row r="119" spans="1:13" ht="16.5" thickBot="1" x14ac:dyDescent="0.3">
      <c r="A119" s="193" t="s">
        <v>139</v>
      </c>
      <c r="B119" s="194">
        <f>I111</f>
        <v>476.95085714285716</v>
      </c>
      <c r="C119" s="195">
        <f>B119/B120*100</f>
        <v>26.853874207989875</v>
      </c>
      <c r="D119" s="196">
        <v>0.25</v>
      </c>
      <c r="E119" s="280"/>
      <c r="F119" s="70"/>
      <c r="G119" s="191"/>
      <c r="H119" s="192"/>
      <c r="J119" s="2"/>
      <c r="K119" s="2"/>
      <c r="L119" s="2"/>
      <c r="M119" s="2"/>
    </row>
    <row r="120" spans="1:13" ht="16.5" thickBot="1" x14ac:dyDescent="0.3">
      <c r="A120" s="197" t="s">
        <v>140</v>
      </c>
      <c r="B120" s="198">
        <f>SUM(B115:B119)</f>
        <v>1776.0970109890111</v>
      </c>
      <c r="C120" s="199"/>
      <c r="D120" s="281"/>
      <c r="E120" s="280"/>
      <c r="F120" s="70"/>
      <c r="G120" s="70"/>
      <c r="H120" s="70"/>
      <c r="J120" s="2"/>
      <c r="K120" s="2"/>
      <c r="L120" s="2"/>
      <c r="M120" s="2"/>
    </row>
    <row r="121" spans="1:13" x14ac:dyDescent="0.25">
      <c r="J121" s="2"/>
      <c r="K121" s="2"/>
      <c r="L121" s="2"/>
      <c r="M121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27"/>
  <sheetViews>
    <sheetView view="pageBreakPreview" topLeftCell="A109" zoomScaleSheetLayoutView="100" workbookViewId="0">
      <selection activeCell="D37" sqref="D37"/>
    </sheetView>
  </sheetViews>
  <sheetFormatPr defaultRowHeight="15.75" x14ac:dyDescent="0.25"/>
  <cols>
    <col min="1" max="1" width="20.5703125" style="124" customWidth="1"/>
    <col min="2" max="2" width="21.7109375" style="124" customWidth="1"/>
    <col min="3" max="3" width="9.140625" style="124"/>
    <col min="4" max="5" width="9.140625" style="226"/>
    <col min="6" max="9" width="9.140625" style="124"/>
    <col min="10" max="10" width="14.5703125" style="124" customWidth="1"/>
    <col min="11" max="16384" width="9.140625" style="124"/>
  </cols>
  <sheetData>
    <row r="1" spans="1:13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2"/>
      <c r="L1" s="2"/>
      <c r="M1" s="2"/>
    </row>
    <row r="2" spans="1:13" x14ac:dyDescent="0.25">
      <c r="A2" s="2" t="s">
        <v>383</v>
      </c>
      <c r="B2" s="2"/>
      <c r="C2" s="2"/>
      <c r="D2" s="74"/>
      <c r="E2" s="74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74"/>
      <c r="E3" s="74"/>
      <c r="F3" s="2"/>
      <c r="G3" s="2"/>
      <c r="H3" s="2"/>
      <c r="I3" s="2"/>
      <c r="J3" s="2"/>
      <c r="K3" s="2"/>
      <c r="L3" s="2"/>
      <c r="M3" s="2"/>
    </row>
    <row r="4" spans="1:13" x14ac:dyDescent="0.25">
      <c r="A4" s="411" t="s">
        <v>1</v>
      </c>
      <c r="B4" s="411" t="s">
        <v>2</v>
      </c>
      <c r="C4" s="411" t="s">
        <v>3</v>
      </c>
      <c r="D4" s="415" t="s">
        <v>12</v>
      </c>
      <c r="E4" s="416"/>
      <c r="F4" s="409" t="s">
        <v>7</v>
      </c>
      <c r="G4" s="410"/>
      <c r="H4" s="410"/>
      <c r="I4" s="411" t="s">
        <v>8</v>
      </c>
      <c r="J4" s="409" t="s">
        <v>9</v>
      </c>
      <c r="K4" s="2"/>
      <c r="L4" s="2"/>
      <c r="M4" s="2"/>
    </row>
    <row r="5" spans="1:13" x14ac:dyDescent="0.25">
      <c r="A5" s="412"/>
      <c r="B5" s="412"/>
      <c r="C5" s="412"/>
      <c r="D5" s="75" t="s">
        <v>10</v>
      </c>
      <c r="E5" s="75" t="s">
        <v>11</v>
      </c>
      <c r="F5" s="4" t="s">
        <v>4</v>
      </c>
      <c r="G5" s="4" t="s">
        <v>5</v>
      </c>
      <c r="H5" s="4" t="s">
        <v>6</v>
      </c>
      <c r="I5" s="412"/>
      <c r="J5" s="410"/>
      <c r="K5" s="2"/>
      <c r="L5" s="2"/>
      <c r="M5" s="2"/>
    </row>
    <row r="6" spans="1:13" x14ac:dyDescent="0.25">
      <c r="A6" s="201" t="s">
        <v>227</v>
      </c>
      <c r="B6" s="3"/>
      <c r="C6" s="3"/>
      <c r="D6" s="76"/>
      <c r="E6" s="76"/>
      <c r="F6" s="3"/>
      <c r="G6" s="3"/>
      <c r="H6" s="3"/>
      <c r="I6" s="3"/>
      <c r="J6" s="3"/>
      <c r="K6" s="2"/>
      <c r="L6" s="2"/>
      <c r="M6" s="2"/>
    </row>
    <row r="7" spans="1:13" ht="47.25" x14ac:dyDescent="0.25">
      <c r="A7" s="4" t="s">
        <v>14</v>
      </c>
      <c r="B7" s="125" t="s">
        <v>228</v>
      </c>
      <c r="C7" s="126">
        <v>130</v>
      </c>
      <c r="D7" s="170"/>
      <c r="E7" s="170"/>
      <c r="F7" s="283">
        <v>3.62</v>
      </c>
      <c r="G7" s="283">
        <v>3.97</v>
      </c>
      <c r="H7" s="283">
        <v>12.81</v>
      </c>
      <c r="I7" s="283">
        <f>C7*156.08/K7</f>
        <v>101.45200000000001</v>
      </c>
      <c r="J7" s="4" t="s">
        <v>229</v>
      </c>
      <c r="K7" s="2">
        <v>200</v>
      </c>
      <c r="L7" s="2"/>
      <c r="M7" s="2"/>
    </row>
    <row r="8" spans="1:13" x14ac:dyDescent="0.25">
      <c r="A8" s="3"/>
      <c r="B8" s="66" t="s">
        <v>26</v>
      </c>
      <c r="C8" s="122"/>
      <c r="D8" s="127">
        <v>91</v>
      </c>
      <c r="E8" s="127">
        <v>91</v>
      </c>
      <c r="F8" s="284"/>
      <c r="G8" s="284"/>
      <c r="H8" s="284"/>
      <c r="I8" s="284"/>
      <c r="J8" s="4" t="s">
        <v>16</v>
      </c>
      <c r="K8" s="2"/>
      <c r="L8" s="2"/>
      <c r="M8" s="2"/>
    </row>
    <row r="9" spans="1:13" x14ac:dyDescent="0.25">
      <c r="A9" s="3"/>
      <c r="B9" s="66" t="s">
        <v>27</v>
      </c>
      <c r="C9" s="122"/>
      <c r="D9" s="127">
        <v>28.6</v>
      </c>
      <c r="E9" s="127">
        <v>28.6</v>
      </c>
      <c r="F9" s="284"/>
      <c r="G9" s="284"/>
      <c r="H9" s="284"/>
      <c r="I9" s="284"/>
      <c r="J9" s="3"/>
      <c r="K9" s="2"/>
      <c r="L9" s="2"/>
      <c r="M9" s="2"/>
    </row>
    <row r="10" spans="1:13" x14ac:dyDescent="0.25">
      <c r="A10" s="3"/>
      <c r="B10" s="66" t="s">
        <v>22</v>
      </c>
      <c r="C10" s="159"/>
      <c r="D10" s="127">
        <f>$C$7*2/$K$7</f>
        <v>1.3</v>
      </c>
      <c r="E10" s="127">
        <f>$C$7*2/$K$7</f>
        <v>1.3</v>
      </c>
      <c r="F10" s="284"/>
      <c r="G10" s="284"/>
      <c r="H10" s="284"/>
      <c r="I10" s="284"/>
      <c r="J10" s="3"/>
      <c r="K10" s="2"/>
      <c r="L10" s="2"/>
      <c r="M10" s="2"/>
    </row>
    <row r="11" spans="1:13" x14ac:dyDescent="0.25">
      <c r="A11" s="3"/>
      <c r="B11" s="66" t="s">
        <v>19</v>
      </c>
      <c r="C11" s="122"/>
      <c r="D11" s="127">
        <f>$C$7*2/$K$7</f>
        <v>1.3</v>
      </c>
      <c r="E11" s="127">
        <f>$C$7*2/$K$7</f>
        <v>1.3</v>
      </c>
      <c r="F11" s="284"/>
      <c r="G11" s="284"/>
      <c r="H11" s="284"/>
      <c r="I11" s="284"/>
      <c r="J11" s="3"/>
      <c r="K11" s="2"/>
      <c r="L11" s="2"/>
      <c r="M11" s="2"/>
    </row>
    <row r="12" spans="1:13" x14ac:dyDescent="0.25">
      <c r="A12" s="3"/>
      <c r="B12" s="66" t="s">
        <v>184</v>
      </c>
      <c r="C12" s="122"/>
      <c r="D12" s="127">
        <f>$C$7*16/$K$7</f>
        <v>10.4</v>
      </c>
      <c r="E12" s="127">
        <f>$C$7*16/$K$7</f>
        <v>10.4</v>
      </c>
      <c r="F12" s="284"/>
      <c r="G12" s="284"/>
      <c r="H12" s="284"/>
      <c r="I12" s="284"/>
      <c r="J12" s="3"/>
      <c r="K12" s="2"/>
      <c r="L12" s="2"/>
      <c r="M12" s="2"/>
    </row>
    <row r="13" spans="1:13" x14ac:dyDescent="0.25">
      <c r="A13" s="3"/>
      <c r="B13" s="66" t="s">
        <v>20</v>
      </c>
      <c r="C13" s="122"/>
      <c r="D13" s="127">
        <v>0.4</v>
      </c>
      <c r="E13" s="127">
        <v>0.4</v>
      </c>
      <c r="F13" s="284"/>
      <c r="G13" s="284"/>
      <c r="H13" s="284"/>
      <c r="I13" s="284"/>
      <c r="J13" s="3"/>
      <c r="K13" s="2"/>
      <c r="L13" s="2"/>
      <c r="M13" s="2"/>
    </row>
    <row r="14" spans="1:13" x14ac:dyDescent="0.25">
      <c r="A14" s="3"/>
      <c r="B14" s="97" t="s">
        <v>391</v>
      </c>
      <c r="C14" s="126">
        <v>40</v>
      </c>
      <c r="D14" s="127">
        <v>40</v>
      </c>
      <c r="E14" s="127">
        <v>40</v>
      </c>
      <c r="F14" s="283">
        <v>5.08</v>
      </c>
      <c r="G14" s="283">
        <v>4.5999999999999996</v>
      </c>
      <c r="H14" s="283">
        <v>0.28000000000000003</v>
      </c>
      <c r="I14" s="285">
        <v>62.8</v>
      </c>
      <c r="J14" s="4" t="s">
        <v>392</v>
      </c>
      <c r="K14" s="2"/>
      <c r="L14" s="2"/>
      <c r="M14" s="2"/>
    </row>
    <row r="15" spans="1:13" x14ac:dyDescent="0.25">
      <c r="A15" s="3"/>
      <c r="B15" s="97" t="s">
        <v>23</v>
      </c>
      <c r="C15" s="129">
        <v>5</v>
      </c>
      <c r="D15" s="80">
        <f>C15*16.5/K15</f>
        <v>5.5</v>
      </c>
      <c r="E15" s="80">
        <f>C15</f>
        <v>5</v>
      </c>
      <c r="F15" s="283">
        <f>C15*3.9/K15</f>
        <v>1.3</v>
      </c>
      <c r="G15" s="283">
        <f>C15*4.02/K15</f>
        <v>1.3399999999999999</v>
      </c>
      <c r="H15" s="283">
        <v>0</v>
      </c>
      <c r="I15" s="283">
        <f>C15*52.8/K15</f>
        <v>17.600000000000001</v>
      </c>
      <c r="J15" s="3"/>
      <c r="K15" s="2">
        <v>15</v>
      </c>
      <c r="L15" s="2"/>
      <c r="M15" s="2"/>
    </row>
    <row r="16" spans="1:13" x14ac:dyDescent="0.25">
      <c r="A16" s="3"/>
      <c r="B16" s="97" t="s">
        <v>230</v>
      </c>
      <c r="C16" s="126">
        <v>165</v>
      </c>
      <c r="D16" s="170"/>
      <c r="E16" s="170"/>
      <c r="F16" s="286" t="s">
        <v>442</v>
      </c>
      <c r="G16" s="286">
        <v>3.23</v>
      </c>
      <c r="H16" s="286">
        <v>21.4</v>
      </c>
      <c r="I16" s="286">
        <f>C16*153.92/K16</f>
        <v>126.98399999999999</v>
      </c>
      <c r="J16" s="4" t="s">
        <v>232</v>
      </c>
      <c r="K16" s="2">
        <v>200</v>
      </c>
      <c r="L16" s="2"/>
      <c r="M16" s="2"/>
    </row>
    <row r="17" spans="1:13" x14ac:dyDescent="0.25">
      <c r="A17" s="3"/>
      <c r="B17" s="66" t="s">
        <v>231</v>
      </c>
      <c r="C17" s="122"/>
      <c r="D17" s="127">
        <f>$C$16*3/$K$16</f>
        <v>2.4750000000000001</v>
      </c>
      <c r="E17" s="127">
        <f>$C$16*3/$K$16</f>
        <v>2.4750000000000001</v>
      </c>
      <c r="F17" s="286"/>
      <c r="G17" s="286"/>
      <c r="H17" s="286"/>
      <c r="I17" s="286"/>
      <c r="J17" s="4" t="s">
        <v>16</v>
      </c>
      <c r="K17" s="2"/>
      <c r="L17" s="2"/>
      <c r="M17" s="2"/>
    </row>
    <row r="18" spans="1:13" x14ac:dyDescent="0.25">
      <c r="A18" s="3"/>
      <c r="B18" s="66" t="s">
        <v>26</v>
      </c>
      <c r="C18" s="122"/>
      <c r="D18" s="127">
        <f>$C$16*100/$K$16</f>
        <v>82.5</v>
      </c>
      <c r="E18" s="127">
        <f>$C$16*100/$K$16</f>
        <v>82.5</v>
      </c>
      <c r="F18" s="286"/>
      <c r="G18" s="286"/>
      <c r="H18" s="286"/>
      <c r="I18" s="286"/>
      <c r="J18" s="3"/>
      <c r="K18" s="2"/>
      <c r="L18" s="2"/>
      <c r="M18" s="2"/>
    </row>
    <row r="19" spans="1:13" x14ac:dyDescent="0.25">
      <c r="A19" s="3"/>
      <c r="B19" s="66" t="s">
        <v>19</v>
      </c>
      <c r="C19" s="122"/>
      <c r="D19" s="127">
        <f>$C$16*20/$K$16</f>
        <v>16.5</v>
      </c>
      <c r="E19" s="127">
        <f>$C$16*20/$K$16</f>
        <v>16.5</v>
      </c>
      <c r="F19" s="286"/>
      <c r="G19" s="286"/>
      <c r="H19" s="286"/>
      <c r="I19" s="286"/>
      <c r="J19" s="3"/>
      <c r="K19" s="2"/>
      <c r="L19" s="2"/>
      <c r="M19" s="2"/>
    </row>
    <row r="20" spans="1:13" x14ac:dyDescent="0.25">
      <c r="A20" s="3"/>
      <c r="B20" s="66" t="s">
        <v>27</v>
      </c>
      <c r="C20" s="122"/>
      <c r="D20" s="127">
        <f>$C$16*110/$K$16</f>
        <v>90.75</v>
      </c>
      <c r="E20" s="127">
        <f>$C$16*110/$K$16</f>
        <v>90.75</v>
      </c>
      <c r="F20" s="286"/>
      <c r="G20" s="286"/>
      <c r="H20" s="286"/>
      <c r="I20" s="286"/>
      <c r="J20" s="3"/>
      <c r="K20" s="2"/>
      <c r="L20" s="2"/>
      <c r="M20" s="2"/>
    </row>
    <row r="21" spans="1:13" x14ac:dyDescent="0.25">
      <c r="A21" s="3"/>
      <c r="B21" s="97" t="s">
        <v>28</v>
      </c>
      <c r="C21" s="129">
        <v>10</v>
      </c>
      <c r="D21" s="130">
        <f>C21</f>
        <v>10</v>
      </c>
      <c r="E21" s="130">
        <f>C21</f>
        <v>10</v>
      </c>
      <c r="F21" s="283">
        <f>C21*1.52/20</f>
        <v>0.76</v>
      </c>
      <c r="G21" s="283">
        <f>C21*0.18/K21</f>
        <v>0.09</v>
      </c>
      <c r="H21" s="283">
        <f>C21*9.34/K21</f>
        <v>4.67</v>
      </c>
      <c r="I21" s="283">
        <f>C21*46.2/K21</f>
        <v>23.1</v>
      </c>
      <c r="J21" s="3"/>
      <c r="K21" s="72">
        <v>20</v>
      </c>
      <c r="L21" s="2"/>
      <c r="M21" s="2"/>
    </row>
    <row r="22" spans="1:13" x14ac:dyDescent="0.25">
      <c r="A22" s="3"/>
      <c r="B22" s="125" t="s">
        <v>84</v>
      </c>
      <c r="C22" s="129">
        <v>10</v>
      </c>
      <c r="D22" s="130">
        <f>C22</f>
        <v>10</v>
      </c>
      <c r="E22" s="130">
        <f>C22</f>
        <v>10</v>
      </c>
      <c r="F22" s="286">
        <f>C22*1.54/K22</f>
        <v>0.77</v>
      </c>
      <c r="G22" s="286">
        <f>C22*0.28/K22</f>
        <v>0.14000000000000001</v>
      </c>
      <c r="H22" s="286">
        <f>C22*7.52/K22</f>
        <v>3.7599999999999993</v>
      </c>
      <c r="I22" s="286">
        <f>C22*40.2/K22</f>
        <v>20.100000000000001</v>
      </c>
      <c r="J22" s="3"/>
      <c r="K22" s="72">
        <v>20</v>
      </c>
      <c r="L22" s="2"/>
      <c r="M22" s="2"/>
    </row>
    <row r="23" spans="1:13" x14ac:dyDescent="0.25">
      <c r="A23" s="5" t="s">
        <v>30</v>
      </c>
      <c r="B23" s="6"/>
      <c r="C23" s="8">
        <f>SUM(C7:C22)</f>
        <v>360</v>
      </c>
      <c r="D23" s="77"/>
      <c r="E23" s="77"/>
      <c r="F23" s="107">
        <f>SUM(F7:F22)</f>
        <v>11.53</v>
      </c>
      <c r="G23" s="107">
        <f>SUM(G7:G22)</f>
        <v>13.370000000000001</v>
      </c>
      <c r="H23" s="107">
        <f>SUM(H7:H22)</f>
        <v>42.919999999999995</v>
      </c>
      <c r="I23" s="107">
        <f>SUM(I7:I22)</f>
        <v>352.03600000000006</v>
      </c>
      <c r="J23" s="6"/>
      <c r="K23" s="2"/>
      <c r="L23" s="2"/>
      <c r="M23" s="2"/>
    </row>
    <row r="24" spans="1:13" x14ac:dyDescent="0.25">
      <c r="A24" s="4" t="s">
        <v>31</v>
      </c>
      <c r="B24" s="97" t="s">
        <v>297</v>
      </c>
      <c r="C24" s="126">
        <v>110</v>
      </c>
      <c r="D24" s="122">
        <v>125.4</v>
      </c>
      <c r="E24" s="122">
        <f>C24</f>
        <v>110</v>
      </c>
      <c r="F24" s="126">
        <f>C24*0.44/K24</f>
        <v>0.44</v>
      </c>
      <c r="G24" s="126">
        <f>C24*0.44/K24</f>
        <v>0.44</v>
      </c>
      <c r="H24" s="126">
        <f>C24*10.78/K24</f>
        <v>10.78</v>
      </c>
      <c r="I24" s="126">
        <v>49.5</v>
      </c>
      <c r="J24" s="3"/>
      <c r="K24" s="2">
        <v>110</v>
      </c>
      <c r="L24" s="2"/>
      <c r="M24" s="2"/>
    </row>
    <row r="25" spans="1:13" ht="31.5" x14ac:dyDescent="0.25">
      <c r="A25" s="9" t="s">
        <v>32</v>
      </c>
      <c r="B25" s="6"/>
      <c r="C25" s="6"/>
      <c r="D25" s="77"/>
      <c r="E25" s="77"/>
      <c r="F25" s="108">
        <f>SUM(F24)</f>
        <v>0.44</v>
      </c>
      <c r="G25" s="108">
        <f>SUM(G24)</f>
        <v>0.44</v>
      </c>
      <c r="H25" s="108">
        <f>SUM(H24)</f>
        <v>10.78</v>
      </c>
      <c r="I25" s="108">
        <f>SUM(I24)</f>
        <v>49.5</v>
      </c>
      <c r="J25" s="6"/>
      <c r="K25" s="2"/>
      <c r="L25" s="2"/>
      <c r="M25" s="2"/>
    </row>
    <row r="26" spans="1:13" ht="31.5" x14ac:dyDescent="0.25">
      <c r="A26" s="10" t="s">
        <v>33</v>
      </c>
      <c r="B26" s="287" t="s">
        <v>233</v>
      </c>
      <c r="C26" s="288">
        <v>40</v>
      </c>
      <c r="D26" s="82"/>
      <c r="E26" s="82"/>
      <c r="F26" s="289">
        <f>C26*0.72/K26</f>
        <v>0.57599999999999996</v>
      </c>
      <c r="G26" s="46">
        <f>C26*5.05/K26</f>
        <v>4.04</v>
      </c>
      <c r="H26" s="46">
        <f>C26*5.05/K26</f>
        <v>4.04</v>
      </c>
      <c r="I26" s="46">
        <f>C26*68.72/K26</f>
        <v>54.976000000000006</v>
      </c>
      <c r="J26" s="4" t="s">
        <v>235</v>
      </c>
      <c r="K26" s="2">
        <v>50</v>
      </c>
      <c r="L26" s="2"/>
      <c r="M26" s="2"/>
    </row>
    <row r="27" spans="1:13" x14ac:dyDescent="0.25">
      <c r="A27" s="3"/>
      <c r="B27" s="290" t="s">
        <v>234</v>
      </c>
      <c r="C27" s="126"/>
      <c r="D27" s="180">
        <f>C26*33.3/K26</f>
        <v>26.64</v>
      </c>
      <c r="E27" s="180">
        <f>C26*26.6/K26</f>
        <v>21.28</v>
      </c>
      <c r="F27" s="46"/>
      <c r="G27" s="46"/>
      <c r="H27" s="46"/>
      <c r="I27" s="46"/>
      <c r="J27" s="4" t="s">
        <v>236</v>
      </c>
      <c r="K27" s="2"/>
      <c r="L27" s="2"/>
      <c r="M27" s="2"/>
    </row>
    <row r="28" spans="1:13" x14ac:dyDescent="0.25">
      <c r="A28" s="3"/>
      <c r="B28" s="291" t="s">
        <v>62</v>
      </c>
      <c r="C28" s="126"/>
      <c r="D28" s="180">
        <f>C26*12/K26</f>
        <v>9.6</v>
      </c>
      <c r="E28" s="180">
        <f>C26*10/K26</f>
        <v>8</v>
      </c>
      <c r="F28" s="46"/>
      <c r="G28" s="46"/>
      <c r="H28" s="46"/>
      <c r="I28" s="46"/>
      <c r="J28" s="3"/>
      <c r="K28" s="2"/>
      <c r="L28" s="2"/>
      <c r="M28" s="2"/>
    </row>
    <row r="29" spans="1:13" x14ac:dyDescent="0.25">
      <c r="A29" s="3"/>
      <c r="B29" s="291" t="s">
        <v>463</v>
      </c>
      <c r="C29" s="126"/>
      <c r="D29" s="180">
        <f>$C$26*2/$K$26</f>
        <v>1.6</v>
      </c>
      <c r="E29" s="180">
        <f>$C$26*2/$K$26</f>
        <v>1.6</v>
      </c>
      <c r="F29" s="46"/>
      <c r="G29" s="46"/>
      <c r="H29" s="46"/>
      <c r="I29" s="46"/>
      <c r="J29" s="3"/>
      <c r="K29" s="2"/>
      <c r="L29" s="2"/>
      <c r="M29" s="2"/>
    </row>
    <row r="30" spans="1:13" x14ac:dyDescent="0.25">
      <c r="A30" s="3"/>
      <c r="B30" s="291" t="s">
        <v>37</v>
      </c>
      <c r="C30" s="126"/>
      <c r="D30" s="180">
        <f>$C$26*5/$K$26</f>
        <v>4</v>
      </c>
      <c r="E30" s="180">
        <f>$C$26*5/$K$26</f>
        <v>4</v>
      </c>
      <c r="F30" s="46"/>
      <c r="G30" s="46"/>
      <c r="H30" s="46"/>
      <c r="I30" s="46"/>
      <c r="J30" s="3"/>
      <c r="K30" s="2"/>
      <c r="L30" s="2"/>
      <c r="M30" s="2"/>
    </row>
    <row r="31" spans="1:13" x14ac:dyDescent="0.25">
      <c r="A31" s="3"/>
      <c r="B31" s="290" t="s">
        <v>39</v>
      </c>
      <c r="C31" s="126"/>
      <c r="D31" s="180">
        <f>$C$26*1/$K$26</f>
        <v>0.8</v>
      </c>
      <c r="E31" s="180">
        <f>$C$26*1/$K$26</f>
        <v>0.8</v>
      </c>
      <c r="F31" s="46"/>
      <c r="G31" s="46"/>
      <c r="H31" s="46"/>
      <c r="I31" s="46"/>
      <c r="J31" s="3"/>
      <c r="K31" s="2"/>
      <c r="L31" s="2"/>
      <c r="M31" s="2"/>
    </row>
    <row r="32" spans="1:13" x14ac:dyDescent="0.25">
      <c r="A32" s="3"/>
      <c r="B32" s="290" t="s">
        <v>152</v>
      </c>
      <c r="C32" s="126"/>
      <c r="D32" s="180">
        <f>$C$26*0.6/$K$26</f>
        <v>0.48</v>
      </c>
      <c r="E32" s="180">
        <f>$C$26*0.6/$K$26</f>
        <v>0.48</v>
      </c>
      <c r="F32" s="46"/>
      <c r="G32" s="46"/>
      <c r="H32" s="46"/>
      <c r="I32" s="46"/>
      <c r="J32" s="3"/>
      <c r="K32" s="2"/>
      <c r="L32" s="2"/>
      <c r="M32" s="2"/>
    </row>
    <row r="33" spans="1:13" x14ac:dyDescent="0.25">
      <c r="A33" s="3"/>
      <c r="B33" s="179" t="s">
        <v>85</v>
      </c>
      <c r="C33" s="126"/>
      <c r="D33" s="180">
        <f>$C$26*0.75/$K$26</f>
        <v>0.6</v>
      </c>
      <c r="E33" s="180">
        <f>$C$26*0.75/$K$26</f>
        <v>0.6</v>
      </c>
      <c r="F33" s="46"/>
      <c r="G33" s="46"/>
      <c r="H33" s="46"/>
      <c r="I33" s="46"/>
      <c r="J33" s="3"/>
      <c r="K33" s="2"/>
      <c r="L33" s="2"/>
      <c r="M33" s="2"/>
    </row>
    <row r="34" spans="1:13" x14ac:dyDescent="0.25">
      <c r="A34" s="3"/>
      <c r="B34" s="139" t="s">
        <v>20</v>
      </c>
      <c r="C34" s="129"/>
      <c r="D34" s="140">
        <v>0.3</v>
      </c>
      <c r="E34" s="140">
        <v>0.3</v>
      </c>
      <c r="F34" s="4"/>
      <c r="G34" s="4"/>
      <c r="H34" s="4"/>
      <c r="I34" s="4"/>
      <c r="J34" s="3"/>
      <c r="K34" s="2"/>
      <c r="L34" s="2"/>
      <c r="M34" s="2"/>
    </row>
    <row r="35" spans="1:13" ht="31.5" customHeight="1" x14ac:dyDescent="0.25">
      <c r="A35" s="3"/>
      <c r="B35" s="292" t="s">
        <v>242</v>
      </c>
      <c r="C35" s="293">
        <v>165</v>
      </c>
      <c r="D35" s="294"/>
      <c r="E35" s="294"/>
      <c r="F35" s="295">
        <v>5.8</v>
      </c>
      <c r="G35" s="295">
        <v>8.84</v>
      </c>
      <c r="H35" s="295">
        <v>16.84</v>
      </c>
      <c r="I35" s="295">
        <v>119.8</v>
      </c>
      <c r="J35" s="4" t="s">
        <v>243</v>
      </c>
      <c r="K35" s="2">
        <v>200</v>
      </c>
      <c r="L35" s="2"/>
      <c r="M35" s="2"/>
    </row>
    <row r="36" spans="1:13" x14ac:dyDescent="0.25">
      <c r="A36" s="3"/>
      <c r="B36" s="296" t="s">
        <v>156</v>
      </c>
      <c r="C36" s="297"/>
      <c r="D36" s="76">
        <f>E38*20.8/K38</f>
        <v>17.333333333333332</v>
      </c>
      <c r="E36" s="76">
        <v>16</v>
      </c>
      <c r="F36" s="298"/>
      <c r="G36" s="298"/>
      <c r="H36" s="298"/>
      <c r="I36" s="298"/>
      <c r="J36" s="4" t="s">
        <v>16</v>
      </c>
      <c r="K36" s="2"/>
      <c r="L36" s="2"/>
      <c r="M36" s="2"/>
    </row>
    <row r="37" spans="1:13" x14ac:dyDescent="0.25">
      <c r="A37" s="3"/>
      <c r="B37" s="296" t="s">
        <v>27</v>
      </c>
      <c r="C37" s="297"/>
      <c r="D37" s="76">
        <f>E38*178.3/K38</f>
        <v>148.58333333333334</v>
      </c>
      <c r="E37" s="76">
        <f>E38*178.3/K38</f>
        <v>148.58333333333334</v>
      </c>
      <c r="F37" s="298"/>
      <c r="G37" s="298"/>
      <c r="H37" s="298"/>
      <c r="I37" s="298"/>
      <c r="J37" s="3"/>
      <c r="K37" s="2"/>
      <c r="L37" s="2"/>
      <c r="M37" s="2"/>
    </row>
    <row r="38" spans="1:13" ht="31.5" x14ac:dyDescent="0.25">
      <c r="A38" s="3"/>
      <c r="B38" s="299" t="s">
        <v>44</v>
      </c>
      <c r="C38" s="293"/>
      <c r="D38" s="76"/>
      <c r="E38" s="76">
        <v>10</v>
      </c>
      <c r="F38" s="298"/>
      <c r="G38" s="298"/>
      <c r="H38" s="298"/>
      <c r="I38" s="298"/>
      <c r="J38" s="3"/>
      <c r="K38" s="2">
        <v>12</v>
      </c>
      <c r="L38" s="2"/>
      <c r="M38" s="2"/>
    </row>
    <row r="39" spans="1:13" ht="31.5" x14ac:dyDescent="0.25">
      <c r="A39" s="3"/>
      <c r="B39" s="300" t="s">
        <v>45</v>
      </c>
      <c r="C39" s="293"/>
      <c r="D39" s="294"/>
      <c r="E39" s="294">
        <v>105</v>
      </c>
      <c r="F39" s="298"/>
      <c r="G39" s="298"/>
      <c r="H39" s="298"/>
      <c r="I39" s="298"/>
      <c r="J39" s="3"/>
      <c r="K39" s="2"/>
      <c r="L39" s="2"/>
      <c r="M39" s="2"/>
    </row>
    <row r="40" spans="1:13" x14ac:dyDescent="0.25">
      <c r="A40" s="3" t="s">
        <v>376</v>
      </c>
      <c r="B40" s="268" t="s">
        <v>86</v>
      </c>
      <c r="C40" s="301">
        <v>150</v>
      </c>
      <c r="D40" s="302">
        <f>C40*72.8/K40</f>
        <v>60</v>
      </c>
      <c r="E40" s="302">
        <v>45</v>
      </c>
      <c r="F40" s="303"/>
      <c r="G40" s="303"/>
      <c r="H40" s="303"/>
      <c r="I40" s="303"/>
      <c r="J40" s="3"/>
      <c r="K40" s="2">
        <v>182</v>
      </c>
      <c r="L40" s="2"/>
      <c r="M40" s="2"/>
    </row>
    <row r="41" spans="1:13" x14ac:dyDescent="0.25">
      <c r="A41" s="3"/>
      <c r="B41" s="268" t="s">
        <v>244</v>
      </c>
      <c r="C41" s="254"/>
      <c r="D41" s="304">
        <f>C40*18.2/K40</f>
        <v>15</v>
      </c>
      <c r="E41" s="304">
        <v>12</v>
      </c>
      <c r="F41" s="244"/>
      <c r="G41" s="244"/>
      <c r="H41" s="303"/>
      <c r="I41" s="303"/>
      <c r="J41" s="3"/>
      <c r="K41" s="2"/>
      <c r="L41" s="2"/>
      <c r="M41" s="2"/>
    </row>
    <row r="42" spans="1:13" x14ac:dyDescent="0.25">
      <c r="A42" s="3"/>
      <c r="B42" s="268" t="s">
        <v>238</v>
      </c>
      <c r="C42" s="254"/>
      <c r="D42" s="304">
        <f>$C$40*9.1/$K$40</f>
        <v>7.5</v>
      </c>
      <c r="E42" s="304">
        <v>6</v>
      </c>
      <c r="F42" s="244"/>
      <c r="G42" s="244"/>
      <c r="H42" s="303"/>
      <c r="I42" s="303"/>
      <c r="J42" s="3"/>
      <c r="K42" s="2"/>
      <c r="L42" s="2"/>
      <c r="M42" s="2"/>
    </row>
    <row r="43" spans="1:13" x14ac:dyDescent="0.25">
      <c r="A43" s="3"/>
      <c r="B43" s="305" t="s">
        <v>205</v>
      </c>
      <c r="C43" s="254"/>
      <c r="D43" s="304">
        <f>$C$40*9.1/$K$40</f>
        <v>7.5</v>
      </c>
      <c r="E43" s="304">
        <v>6</v>
      </c>
      <c r="F43" s="244"/>
      <c r="G43" s="244"/>
      <c r="H43" s="303"/>
      <c r="I43" s="303"/>
      <c r="J43" s="3"/>
      <c r="K43" s="2"/>
      <c r="L43" s="2"/>
      <c r="M43" s="2"/>
    </row>
    <row r="44" spans="1:13" x14ac:dyDescent="0.25">
      <c r="A44" s="3"/>
      <c r="B44" s="305" t="s">
        <v>239</v>
      </c>
      <c r="C44" s="254"/>
      <c r="D44" s="304">
        <v>10.5</v>
      </c>
      <c r="E44" s="304">
        <v>9</v>
      </c>
      <c r="F44" s="244"/>
      <c r="G44" s="244"/>
      <c r="H44" s="303"/>
      <c r="I44" s="303"/>
      <c r="J44" s="3"/>
      <c r="K44" s="2"/>
      <c r="L44" s="2"/>
      <c r="M44" s="2"/>
    </row>
    <row r="45" spans="1:13" x14ac:dyDescent="0.25">
      <c r="A45" s="3"/>
      <c r="B45" s="305" t="s">
        <v>105</v>
      </c>
      <c r="C45" s="306"/>
      <c r="D45" s="304">
        <v>3</v>
      </c>
      <c r="E45" s="304">
        <v>3</v>
      </c>
      <c r="F45" s="243"/>
      <c r="G45" s="244"/>
      <c r="H45" s="294"/>
      <c r="I45" s="294"/>
      <c r="J45" s="3"/>
      <c r="K45" s="2"/>
      <c r="L45" s="2"/>
      <c r="M45" s="2"/>
    </row>
    <row r="46" spans="1:13" x14ac:dyDescent="0.25">
      <c r="A46" s="3"/>
      <c r="B46" s="305" t="s">
        <v>240</v>
      </c>
      <c r="C46" s="306"/>
      <c r="D46" s="304">
        <f>C40*1.35/K40</f>
        <v>1.1126373626373627</v>
      </c>
      <c r="E46" s="304">
        <f>C40*1/K40</f>
        <v>0.82417582417582413</v>
      </c>
      <c r="F46" s="243"/>
      <c r="G46" s="244"/>
      <c r="H46" s="294"/>
      <c r="I46" s="294"/>
      <c r="J46" s="3"/>
      <c r="K46" s="2"/>
      <c r="L46" s="2"/>
      <c r="M46" s="2"/>
    </row>
    <row r="47" spans="1:13" x14ac:dyDescent="0.25">
      <c r="A47" s="3"/>
      <c r="B47" s="305" t="s">
        <v>241</v>
      </c>
      <c r="C47" s="306"/>
      <c r="D47" s="304">
        <v>5</v>
      </c>
      <c r="E47" s="304">
        <v>5</v>
      </c>
      <c r="F47" s="243"/>
      <c r="G47" s="244"/>
      <c r="H47" s="294"/>
      <c r="I47" s="294"/>
      <c r="J47" s="3"/>
      <c r="K47" s="2"/>
      <c r="L47" s="2"/>
      <c r="M47" s="2"/>
    </row>
    <row r="48" spans="1:13" x14ac:dyDescent="0.25">
      <c r="A48" s="3"/>
      <c r="B48" s="3" t="s">
        <v>20</v>
      </c>
      <c r="C48" s="130"/>
      <c r="D48" s="80">
        <v>0.5</v>
      </c>
      <c r="E48" s="80">
        <v>0.5</v>
      </c>
      <c r="F48" s="4"/>
      <c r="G48" s="4"/>
      <c r="H48" s="4"/>
      <c r="I48" s="4"/>
      <c r="J48" s="3"/>
      <c r="K48" s="2"/>
      <c r="L48" s="2"/>
      <c r="M48" s="2"/>
    </row>
    <row r="49" spans="1:13" ht="31.5" x14ac:dyDescent="0.25">
      <c r="A49" s="3"/>
      <c r="B49" s="252" t="s">
        <v>245</v>
      </c>
      <c r="C49" s="306">
        <v>60</v>
      </c>
      <c r="D49" s="294"/>
      <c r="E49" s="294"/>
      <c r="F49" s="307">
        <f>C49*7.26/K49</f>
        <v>6.2228571428571424</v>
      </c>
      <c r="G49" s="308">
        <f>C49*4.01/K49</f>
        <v>3.4371428571428573</v>
      </c>
      <c r="H49" s="308">
        <f>C49*3.75/K49</f>
        <v>3.2142857142857144</v>
      </c>
      <c r="I49" s="308">
        <v>68.599999999999994</v>
      </c>
      <c r="J49" s="4" t="s">
        <v>254</v>
      </c>
      <c r="K49" s="2">
        <v>70</v>
      </c>
      <c r="L49" s="2"/>
      <c r="M49" s="2"/>
    </row>
    <row r="50" spans="1:13" ht="30.75" customHeight="1" x14ac:dyDescent="0.25">
      <c r="A50" s="3"/>
      <c r="B50" s="309" t="s">
        <v>246</v>
      </c>
      <c r="C50" s="310"/>
      <c r="D50" s="311">
        <v>48.5</v>
      </c>
      <c r="E50" s="312">
        <v>37</v>
      </c>
      <c r="F50" s="310"/>
      <c r="G50" s="310"/>
      <c r="H50" s="310"/>
      <c r="I50" s="310"/>
      <c r="J50" s="4" t="s">
        <v>16</v>
      </c>
      <c r="K50" s="2"/>
      <c r="L50" s="2"/>
      <c r="M50" s="2"/>
    </row>
    <row r="51" spans="1:13" x14ac:dyDescent="0.25">
      <c r="A51" s="3"/>
      <c r="B51" s="268" t="s">
        <v>247</v>
      </c>
      <c r="C51" s="310"/>
      <c r="D51" s="311">
        <v>11</v>
      </c>
      <c r="E51" s="311">
        <v>11</v>
      </c>
      <c r="F51" s="310"/>
      <c r="G51" s="310"/>
      <c r="H51" s="310"/>
      <c r="I51" s="310"/>
      <c r="J51" s="3"/>
      <c r="K51" s="2"/>
      <c r="L51" s="2"/>
      <c r="M51" s="2"/>
    </row>
    <row r="52" spans="1:13" x14ac:dyDescent="0.25">
      <c r="A52" s="3"/>
      <c r="B52" s="268" t="s">
        <v>61</v>
      </c>
      <c r="C52" s="310"/>
      <c r="D52" s="311">
        <v>13.5</v>
      </c>
      <c r="E52" s="311">
        <v>11</v>
      </c>
      <c r="F52" s="310"/>
      <c r="G52" s="310"/>
      <c r="H52" s="310"/>
      <c r="I52" s="310"/>
      <c r="J52" s="3"/>
      <c r="K52" s="2"/>
      <c r="L52" s="2"/>
      <c r="M52" s="2"/>
    </row>
    <row r="53" spans="1:13" x14ac:dyDescent="0.25">
      <c r="A53" s="3"/>
      <c r="B53" s="268" t="s">
        <v>205</v>
      </c>
      <c r="C53" s="306"/>
      <c r="D53" s="303">
        <v>7</v>
      </c>
      <c r="E53" s="303">
        <v>6</v>
      </c>
      <c r="F53" s="306"/>
      <c r="G53" s="254"/>
      <c r="H53" s="306"/>
      <c r="I53" s="306"/>
      <c r="J53" s="3"/>
      <c r="K53" s="2"/>
      <c r="L53" s="2"/>
      <c r="M53" s="2"/>
    </row>
    <row r="54" spans="1:13" x14ac:dyDescent="0.25">
      <c r="A54" s="3"/>
      <c r="B54" s="305" t="s">
        <v>248</v>
      </c>
      <c r="C54" s="306"/>
      <c r="D54" s="303">
        <v>1.6</v>
      </c>
      <c r="E54" s="303">
        <v>1.6</v>
      </c>
      <c r="F54" s="306"/>
      <c r="G54" s="254"/>
      <c r="H54" s="306"/>
      <c r="I54" s="306"/>
      <c r="J54" s="3"/>
      <c r="K54" s="2"/>
      <c r="L54" s="2"/>
      <c r="M54" s="2"/>
    </row>
    <row r="55" spans="1:13" ht="16.5" customHeight="1" x14ac:dyDescent="0.25">
      <c r="A55" s="3"/>
      <c r="B55" s="305" t="s">
        <v>249</v>
      </c>
      <c r="C55" s="306"/>
      <c r="D55" s="303">
        <v>3.3</v>
      </c>
      <c r="E55" s="303">
        <v>3.3</v>
      </c>
      <c r="F55" s="306"/>
      <c r="G55" s="254"/>
      <c r="H55" s="306"/>
      <c r="I55" s="306"/>
      <c r="J55" s="3"/>
      <c r="K55" s="2"/>
      <c r="L55" s="2"/>
      <c r="M55" s="2"/>
    </row>
    <row r="56" spans="1:13" x14ac:dyDescent="0.25">
      <c r="A56" s="3"/>
      <c r="B56" s="305" t="s">
        <v>250</v>
      </c>
      <c r="C56" s="306"/>
      <c r="D56" s="303">
        <v>1.1000000000000001</v>
      </c>
      <c r="E56" s="303">
        <v>1.1000000000000001</v>
      </c>
      <c r="F56" s="306"/>
      <c r="G56" s="254"/>
      <c r="H56" s="306"/>
      <c r="I56" s="306"/>
      <c r="J56" s="3"/>
      <c r="K56" s="2"/>
      <c r="L56" s="2"/>
      <c r="M56" s="2"/>
    </row>
    <row r="57" spans="1:13" x14ac:dyDescent="0.25">
      <c r="A57" s="3"/>
      <c r="B57" s="305" t="s">
        <v>251</v>
      </c>
      <c r="C57" s="306"/>
      <c r="D57" s="303">
        <v>3.0000000000000001E-3</v>
      </c>
      <c r="E57" s="303">
        <f>$C$49*0.0035/$K$49</f>
        <v>3.0000000000000001E-3</v>
      </c>
      <c r="F57" s="306"/>
      <c r="G57" s="254"/>
      <c r="H57" s="306"/>
      <c r="I57" s="306"/>
      <c r="J57" s="3"/>
      <c r="K57" s="2"/>
      <c r="L57" s="2"/>
      <c r="M57" s="2"/>
    </row>
    <row r="58" spans="1:13" x14ac:dyDescent="0.25">
      <c r="A58" s="3"/>
      <c r="B58" s="305" t="s">
        <v>20</v>
      </c>
      <c r="C58" s="306"/>
      <c r="D58" s="303">
        <v>0.3</v>
      </c>
      <c r="E58" s="303">
        <v>0.3</v>
      </c>
      <c r="F58" s="306"/>
      <c r="G58" s="254"/>
      <c r="H58" s="306"/>
      <c r="I58" s="306"/>
      <c r="J58" s="3"/>
      <c r="K58" s="2"/>
      <c r="L58" s="2"/>
      <c r="M58" s="2"/>
    </row>
    <row r="59" spans="1:13" ht="31.5" x14ac:dyDescent="0.25">
      <c r="A59" s="3"/>
      <c r="B59" s="305" t="s">
        <v>252</v>
      </c>
      <c r="C59" s="306"/>
      <c r="D59" s="311" t="s">
        <v>173</v>
      </c>
      <c r="E59" s="311">
        <f>C49*35/K49</f>
        <v>30</v>
      </c>
      <c r="F59" s="306"/>
      <c r="G59" s="254"/>
      <c r="H59" s="306"/>
      <c r="I59" s="306"/>
      <c r="J59" s="3"/>
      <c r="K59" s="2"/>
      <c r="L59" s="2"/>
      <c r="M59" s="2"/>
    </row>
    <row r="60" spans="1:13" ht="47.25" x14ac:dyDescent="0.25">
      <c r="A60" s="3"/>
      <c r="B60" s="305" t="s">
        <v>253</v>
      </c>
      <c r="C60" s="306"/>
      <c r="D60" s="311" t="s">
        <v>173</v>
      </c>
      <c r="E60" s="311">
        <f>C49*70/K49</f>
        <v>60</v>
      </c>
      <c r="F60" s="306"/>
      <c r="G60" s="254"/>
      <c r="H60" s="306"/>
      <c r="I60" s="306"/>
      <c r="J60" s="3"/>
      <c r="K60" s="2"/>
      <c r="L60" s="2"/>
      <c r="M60" s="2"/>
    </row>
    <row r="61" spans="1:13" x14ac:dyDescent="0.25">
      <c r="A61" s="3"/>
      <c r="B61" s="97" t="s">
        <v>394</v>
      </c>
      <c r="C61" s="126">
        <v>110</v>
      </c>
      <c r="D61" s="127"/>
      <c r="E61" s="127"/>
      <c r="F61" s="126">
        <v>2.34</v>
      </c>
      <c r="G61" s="126">
        <f>C61*6.06/K61</f>
        <v>4.4439999999999991</v>
      </c>
      <c r="H61" s="126">
        <v>17.079999999999998</v>
      </c>
      <c r="I61" s="126">
        <v>117.66</v>
      </c>
      <c r="J61" s="166" t="s">
        <v>255</v>
      </c>
      <c r="K61" s="2">
        <v>150</v>
      </c>
      <c r="L61" s="2"/>
      <c r="M61" s="2"/>
    </row>
    <row r="62" spans="1:13" x14ac:dyDescent="0.25">
      <c r="A62" s="3"/>
      <c r="B62" s="66" t="s">
        <v>47</v>
      </c>
      <c r="C62" s="122"/>
      <c r="D62" s="127">
        <f>C61*169.5/K61</f>
        <v>124.3</v>
      </c>
      <c r="E62" s="127">
        <f>C61*126/K61</f>
        <v>92.4</v>
      </c>
      <c r="F62" s="122"/>
      <c r="G62" s="122"/>
      <c r="H62" s="122"/>
      <c r="I62" s="122"/>
      <c r="J62" s="4" t="s">
        <v>16</v>
      </c>
      <c r="K62" s="2"/>
      <c r="L62" s="2"/>
      <c r="M62" s="2"/>
    </row>
    <row r="63" spans="1:13" x14ac:dyDescent="0.25">
      <c r="A63" s="3"/>
      <c r="B63" s="66" t="s">
        <v>26</v>
      </c>
      <c r="C63" s="122"/>
      <c r="D63" s="127">
        <f>C61*24/K61</f>
        <v>17.600000000000001</v>
      </c>
      <c r="E63" s="127">
        <v>17.600000000000001</v>
      </c>
      <c r="F63" s="159"/>
      <c r="G63" s="159"/>
      <c r="H63" s="159"/>
      <c r="I63" s="159"/>
      <c r="J63" s="171"/>
      <c r="K63" s="2"/>
      <c r="L63" s="2"/>
      <c r="M63" s="2"/>
    </row>
    <row r="64" spans="1:13" x14ac:dyDescent="0.25">
      <c r="A64" s="3"/>
      <c r="B64" s="66" t="s">
        <v>22</v>
      </c>
      <c r="C64" s="122"/>
      <c r="D64" s="127">
        <f>$C$61*6.75/$K$61</f>
        <v>4.95</v>
      </c>
      <c r="E64" s="127">
        <f>$C$61*6.75/$K$61</f>
        <v>4.95</v>
      </c>
      <c r="F64" s="122"/>
      <c r="G64" s="122"/>
      <c r="H64" s="122"/>
      <c r="I64" s="122"/>
      <c r="J64" s="171"/>
      <c r="K64" s="2"/>
      <c r="L64" s="2"/>
      <c r="M64" s="2"/>
    </row>
    <row r="65" spans="1:13" x14ac:dyDescent="0.25">
      <c r="A65" s="3"/>
      <c r="B65" s="66" t="s">
        <v>20</v>
      </c>
      <c r="C65" s="122"/>
      <c r="D65" s="127">
        <v>0.5</v>
      </c>
      <c r="E65" s="127">
        <v>0.5</v>
      </c>
      <c r="F65" s="122"/>
      <c r="G65" s="122"/>
      <c r="H65" s="122"/>
      <c r="I65" s="122"/>
      <c r="J65" s="3"/>
      <c r="K65" s="2"/>
      <c r="L65" s="2"/>
      <c r="M65" s="2"/>
    </row>
    <row r="66" spans="1:13" ht="31.5" x14ac:dyDescent="0.25">
      <c r="A66" s="3"/>
      <c r="B66" s="15" t="s">
        <v>224</v>
      </c>
      <c r="C66" s="129">
        <v>150</v>
      </c>
      <c r="D66" s="80"/>
      <c r="E66" s="80"/>
      <c r="F66" s="46">
        <v>0.83</v>
      </c>
      <c r="G66" s="46">
        <v>0</v>
      </c>
      <c r="H66" s="46">
        <v>16.97</v>
      </c>
      <c r="I66" s="46">
        <v>66.180000000000007</v>
      </c>
      <c r="J66" s="275"/>
      <c r="K66" s="2"/>
      <c r="L66" s="2"/>
      <c r="M66" s="2"/>
    </row>
    <row r="67" spans="1:13" x14ac:dyDescent="0.25">
      <c r="A67" s="3"/>
      <c r="B67" s="3" t="s">
        <v>225</v>
      </c>
      <c r="C67" s="130"/>
      <c r="D67" s="80">
        <v>18.75</v>
      </c>
      <c r="E67" s="80">
        <v>18.75</v>
      </c>
      <c r="F67" s="4"/>
      <c r="G67" s="4"/>
      <c r="H67" s="4"/>
      <c r="I67" s="4"/>
      <c r="J67" s="275"/>
      <c r="K67" s="2"/>
      <c r="L67" s="2"/>
      <c r="M67" s="2"/>
    </row>
    <row r="68" spans="1:13" x14ac:dyDescent="0.25">
      <c r="A68" s="3"/>
      <c r="B68" s="3" t="s">
        <v>197</v>
      </c>
      <c r="C68" s="130"/>
      <c r="D68" s="80">
        <v>138.75</v>
      </c>
      <c r="E68" s="80">
        <v>138.75</v>
      </c>
      <c r="F68" s="4"/>
      <c r="G68" s="4"/>
      <c r="H68" s="4"/>
      <c r="I68" s="4"/>
      <c r="J68" s="3"/>
      <c r="K68" s="2"/>
      <c r="L68" s="2"/>
      <c r="M68" s="2"/>
    </row>
    <row r="69" spans="1:13" x14ac:dyDescent="0.25">
      <c r="A69" s="3"/>
      <c r="B69" s="97"/>
      <c r="C69" s="126"/>
      <c r="D69" s="127"/>
      <c r="E69" s="127"/>
      <c r="F69" s="126"/>
      <c r="G69" s="126"/>
      <c r="H69" s="126"/>
      <c r="I69" s="126"/>
      <c r="J69" s="3"/>
      <c r="K69" s="2">
        <v>100</v>
      </c>
      <c r="L69" s="2"/>
      <c r="M69" s="2"/>
    </row>
    <row r="70" spans="1:13" x14ac:dyDescent="0.25">
      <c r="A70" s="3"/>
      <c r="B70" s="97" t="s">
        <v>28</v>
      </c>
      <c r="C70" s="126">
        <v>25</v>
      </c>
      <c r="D70" s="122">
        <v>25</v>
      </c>
      <c r="E70" s="122">
        <v>25</v>
      </c>
      <c r="F70" s="126">
        <v>1.9</v>
      </c>
      <c r="G70" s="126">
        <v>0.22500000000000001</v>
      </c>
      <c r="H70" s="126">
        <v>11.675000000000001</v>
      </c>
      <c r="I70" s="126">
        <v>57.75</v>
      </c>
      <c r="J70" s="66"/>
      <c r="K70" s="100">
        <v>20</v>
      </c>
      <c r="L70" s="2"/>
      <c r="M70" s="2"/>
    </row>
    <row r="71" spans="1:13" x14ac:dyDescent="0.25">
      <c r="A71" s="3"/>
      <c r="B71" s="125" t="s">
        <v>84</v>
      </c>
      <c r="C71" s="129">
        <v>10</v>
      </c>
      <c r="D71" s="130">
        <f>C71</f>
        <v>10</v>
      </c>
      <c r="E71" s="130">
        <f>C71</f>
        <v>10</v>
      </c>
      <c r="F71" s="129">
        <f>C71*1.54/K71</f>
        <v>0.77</v>
      </c>
      <c r="G71" s="129">
        <f>C71*0.28/K71</f>
        <v>0.14000000000000001</v>
      </c>
      <c r="H71" s="129">
        <f>C71*7.52/K71</f>
        <v>3.7599999999999993</v>
      </c>
      <c r="I71" s="129">
        <f>C71*40.2/K71</f>
        <v>20.100000000000001</v>
      </c>
      <c r="J71" s="3"/>
      <c r="K71" s="72">
        <v>20</v>
      </c>
      <c r="L71" s="2"/>
      <c r="M71" s="2"/>
    </row>
    <row r="72" spans="1:13" x14ac:dyDescent="0.25">
      <c r="A72" s="5" t="s">
        <v>69</v>
      </c>
      <c r="B72" s="6"/>
      <c r="C72" s="8">
        <f>SUM(C26:C71)</f>
        <v>710</v>
      </c>
      <c r="D72" s="77"/>
      <c r="E72" s="77"/>
      <c r="F72" s="165">
        <f>SUM(F26:F71)</f>
        <v>18.438857142857142</v>
      </c>
      <c r="G72" s="165">
        <f>SUM(G26:G71)</f>
        <v>21.126142857142856</v>
      </c>
      <c r="H72" s="165">
        <f>SUM(H26:H71)</f>
        <v>73.579285714285717</v>
      </c>
      <c r="I72" s="165">
        <f>SUM(I26:I71)</f>
        <v>505.06600000000003</v>
      </c>
      <c r="J72" s="6"/>
      <c r="K72" s="2"/>
      <c r="L72" s="2"/>
      <c r="M72" s="2"/>
    </row>
    <row r="73" spans="1:13" ht="31.5" x14ac:dyDescent="0.25">
      <c r="A73" s="166" t="s">
        <v>70</v>
      </c>
      <c r="B73" s="15" t="s">
        <v>211</v>
      </c>
      <c r="C73" s="4">
        <v>45</v>
      </c>
      <c r="D73" s="232"/>
      <c r="E73" s="232"/>
      <c r="F73" s="105">
        <v>3.05</v>
      </c>
      <c r="G73" s="105">
        <v>2.91</v>
      </c>
      <c r="H73" s="105">
        <v>21.67</v>
      </c>
      <c r="I73" s="105">
        <v>126.99</v>
      </c>
      <c r="J73" s="4" t="s">
        <v>357</v>
      </c>
      <c r="K73" s="2"/>
      <c r="L73" s="2"/>
      <c r="M73" s="2"/>
    </row>
    <row r="74" spans="1:13" x14ac:dyDescent="0.25">
      <c r="A74" s="166"/>
      <c r="B74" s="268" t="s">
        <v>277</v>
      </c>
      <c r="C74" s="254"/>
      <c r="D74" s="265" t="s">
        <v>173</v>
      </c>
      <c r="E74" s="311">
        <v>32.25</v>
      </c>
      <c r="F74" s="222"/>
      <c r="G74" s="219"/>
      <c r="H74" s="219"/>
      <c r="I74" s="219"/>
      <c r="J74" s="4" t="s">
        <v>16</v>
      </c>
      <c r="K74" s="2"/>
      <c r="L74" s="2"/>
      <c r="M74" s="2"/>
    </row>
    <row r="75" spans="1:13" x14ac:dyDescent="0.25">
      <c r="A75" s="166"/>
      <c r="B75" s="268" t="s">
        <v>85</v>
      </c>
      <c r="C75" s="254"/>
      <c r="D75" s="265">
        <v>20.63</v>
      </c>
      <c r="E75" s="265">
        <v>20.63</v>
      </c>
      <c r="F75" s="222"/>
      <c r="G75" s="219"/>
      <c r="H75" s="219"/>
      <c r="I75" s="219"/>
      <c r="J75" s="171"/>
      <c r="K75" s="2"/>
      <c r="L75" s="2"/>
      <c r="M75" s="2"/>
    </row>
    <row r="76" spans="1:13" x14ac:dyDescent="0.25">
      <c r="A76" s="166"/>
      <c r="B76" s="268" t="s">
        <v>39</v>
      </c>
      <c r="C76" s="254"/>
      <c r="D76" s="265">
        <v>1.5</v>
      </c>
      <c r="E76" s="265">
        <v>1.5</v>
      </c>
      <c r="F76" s="222"/>
      <c r="G76" s="219"/>
      <c r="H76" s="219"/>
      <c r="I76" s="219"/>
      <c r="J76" s="171"/>
      <c r="K76" s="2"/>
      <c r="L76" s="2"/>
      <c r="M76" s="2"/>
    </row>
    <row r="77" spans="1:13" x14ac:dyDescent="0.25">
      <c r="A77" s="166"/>
      <c r="B77" s="305" t="s">
        <v>105</v>
      </c>
      <c r="C77" s="254"/>
      <c r="D77" s="265">
        <v>2.25</v>
      </c>
      <c r="E77" s="265">
        <v>2.25</v>
      </c>
      <c r="F77" s="222"/>
      <c r="G77" s="219"/>
      <c r="H77" s="219"/>
      <c r="I77" s="219"/>
      <c r="J77" s="171"/>
      <c r="K77" s="2"/>
      <c r="L77" s="2"/>
      <c r="M77" s="2"/>
    </row>
    <row r="78" spans="1:13" x14ac:dyDescent="0.25">
      <c r="A78" s="166"/>
      <c r="B78" s="305" t="s">
        <v>278</v>
      </c>
      <c r="C78" s="254"/>
      <c r="D78" s="80" t="s">
        <v>150</v>
      </c>
      <c r="E78" s="311">
        <v>2.25</v>
      </c>
      <c r="F78" s="222"/>
      <c r="G78" s="219"/>
      <c r="H78" s="219"/>
      <c r="I78" s="219"/>
      <c r="J78" s="171"/>
      <c r="K78" s="2"/>
      <c r="L78" s="2"/>
      <c r="M78" s="2"/>
    </row>
    <row r="79" spans="1:13" x14ac:dyDescent="0.25">
      <c r="A79" s="166"/>
      <c r="B79" s="305" t="s">
        <v>186</v>
      </c>
      <c r="C79" s="254"/>
      <c r="D79" s="265">
        <v>0.23</v>
      </c>
      <c r="E79" s="265">
        <v>0.23</v>
      </c>
      <c r="F79" s="222"/>
      <c r="G79" s="219"/>
      <c r="H79" s="219"/>
      <c r="I79" s="219"/>
      <c r="J79" s="171"/>
      <c r="K79" s="2"/>
      <c r="L79" s="2"/>
      <c r="M79" s="2"/>
    </row>
    <row r="80" spans="1:13" ht="31.5" x14ac:dyDescent="0.25">
      <c r="A80" s="166"/>
      <c r="B80" s="305" t="s">
        <v>279</v>
      </c>
      <c r="C80" s="254"/>
      <c r="D80" s="313">
        <v>0.77</v>
      </c>
      <c r="E80" s="313">
        <v>0.77</v>
      </c>
      <c r="F80" s="222"/>
      <c r="G80" s="219"/>
      <c r="H80" s="219"/>
      <c r="I80" s="219"/>
      <c r="J80" s="171"/>
      <c r="K80" s="2"/>
      <c r="L80" s="2"/>
      <c r="M80" s="2"/>
    </row>
    <row r="81" spans="1:13" x14ac:dyDescent="0.25">
      <c r="A81" s="166"/>
      <c r="B81" s="305" t="s">
        <v>400</v>
      </c>
      <c r="C81" s="254"/>
      <c r="D81" s="265">
        <v>5.55</v>
      </c>
      <c r="E81" s="265">
        <v>5.55</v>
      </c>
      <c r="F81" s="222"/>
      <c r="G81" s="219"/>
      <c r="H81" s="219"/>
      <c r="I81" s="219"/>
      <c r="J81" s="171"/>
      <c r="K81" s="2"/>
      <c r="L81" s="2"/>
      <c r="M81" s="2"/>
    </row>
    <row r="82" spans="1:13" x14ac:dyDescent="0.25">
      <c r="A82" s="166"/>
      <c r="B82" s="268" t="s">
        <v>280</v>
      </c>
      <c r="C82" s="254"/>
      <c r="D82" s="269">
        <v>0.68</v>
      </c>
      <c r="E82" s="269">
        <v>0.68</v>
      </c>
      <c r="F82" s="222"/>
      <c r="G82" s="219"/>
      <c r="H82" s="219"/>
      <c r="I82" s="219"/>
      <c r="J82" s="171"/>
      <c r="K82" s="2"/>
      <c r="L82" s="2"/>
      <c r="M82" s="2"/>
    </row>
    <row r="83" spans="1:13" x14ac:dyDescent="0.25">
      <c r="A83" s="166"/>
      <c r="B83" s="3" t="s">
        <v>214</v>
      </c>
      <c r="C83" s="254"/>
      <c r="D83" s="80" t="s">
        <v>173</v>
      </c>
      <c r="E83" s="80">
        <v>18.75</v>
      </c>
      <c r="F83" s="3"/>
      <c r="G83" s="3"/>
      <c r="H83" s="3"/>
      <c r="I83" s="3"/>
      <c r="J83" s="4" t="s">
        <v>359</v>
      </c>
      <c r="K83" s="2"/>
      <c r="L83" s="2"/>
      <c r="M83" s="2"/>
    </row>
    <row r="84" spans="1:13" x14ac:dyDescent="0.25">
      <c r="A84" s="166"/>
      <c r="B84" s="3" t="s">
        <v>157</v>
      </c>
      <c r="C84" s="254"/>
      <c r="D84" s="269">
        <v>28.13</v>
      </c>
      <c r="E84" s="302">
        <v>22.5</v>
      </c>
      <c r="F84" s="222"/>
      <c r="G84" s="219"/>
      <c r="H84" s="219"/>
      <c r="I84" s="219"/>
      <c r="J84" s="4" t="s">
        <v>16</v>
      </c>
      <c r="K84" s="2"/>
      <c r="L84" s="2"/>
      <c r="M84" s="2"/>
    </row>
    <row r="85" spans="1:13" x14ac:dyDescent="0.25">
      <c r="A85" s="166"/>
      <c r="B85" s="3" t="s">
        <v>50</v>
      </c>
      <c r="C85" s="3"/>
      <c r="D85" s="80">
        <v>1.31</v>
      </c>
      <c r="E85" s="80">
        <v>1.31</v>
      </c>
      <c r="F85" s="222"/>
      <c r="G85" s="219"/>
      <c r="H85" s="219"/>
      <c r="I85" s="219"/>
      <c r="J85" s="171"/>
      <c r="K85" s="2"/>
      <c r="L85" s="2"/>
      <c r="M85" s="2"/>
    </row>
    <row r="86" spans="1:13" x14ac:dyDescent="0.25">
      <c r="A86" s="166"/>
      <c r="B86" s="3" t="s">
        <v>215</v>
      </c>
      <c r="C86" s="3"/>
      <c r="D86" s="80" t="s">
        <v>173</v>
      </c>
      <c r="E86" s="80">
        <v>16.88</v>
      </c>
      <c r="F86" s="222"/>
      <c r="G86" s="219"/>
      <c r="H86" s="219"/>
      <c r="I86" s="219"/>
      <c r="J86" s="171"/>
      <c r="K86" s="2"/>
      <c r="L86" s="2"/>
      <c r="M86" s="2"/>
    </row>
    <row r="87" spans="1:13" x14ac:dyDescent="0.25">
      <c r="A87" s="166"/>
      <c r="B87" s="3" t="s">
        <v>191</v>
      </c>
      <c r="C87" s="3"/>
      <c r="D87" s="80" t="s">
        <v>358</v>
      </c>
      <c r="E87" s="80">
        <v>3</v>
      </c>
      <c r="F87" s="222"/>
      <c r="G87" s="219"/>
      <c r="H87" s="219"/>
      <c r="I87" s="219"/>
      <c r="J87" s="171"/>
      <c r="K87" s="2"/>
      <c r="L87" s="2"/>
      <c r="M87" s="2"/>
    </row>
    <row r="88" spans="1:13" x14ac:dyDescent="0.25">
      <c r="A88" s="166"/>
      <c r="B88" s="3" t="s">
        <v>51</v>
      </c>
      <c r="C88" s="3"/>
      <c r="D88" s="80">
        <v>0.26</v>
      </c>
      <c r="E88" s="80">
        <v>0.19</v>
      </c>
      <c r="F88" s="222"/>
      <c r="G88" s="219"/>
      <c r="H88" s="219"/>
      <c r="I88" s="219"/>
      <c r="J88" s="171"/>
      <c r="K88" s="2"/>
      <c r="L88" s="2"/>
      <c r="M88" s="2"/>
    </row>
    <row r="89" spans="1:13" x14ac:dyDescent="0.25">
      <c r="A89" s="166"/>
      <c r="B89" s="3" t="s">
        <v>20</v>
      </c>
      <c r="C89" s="3"/>
      <c r="D89" s="80">
        <v>0.3</v>
      </c>
      <c r="E89" s="80">
        <v>0.3</v>
      </c>
      <c r="F89" s="222"/>
      <c r="G89" s="219"/>
      <c r="H89" s="219"/>
      <c r="I89" s="219"/>
      <c r="J89" s="171"/>
      <c r="K89" s="2"/>
      <c r="L89" s="2"/>
      <c r="M89" s="2"/>
    </row>
    <row r="90" spans="1:13" x14ac:dyDescent="0.25">
      <c r="A90" s="166"/>
      <c r="B90" s="3" t="s">
        <v>216</v>
      </c>
      <c r="C90" s="254"/>
      <c r="D90" s="269" t="s">
        <v>375</v>
      </c>
      <c r="E90" s="269">
        <v>0.98</v>
      </c>
      <c r="F90" s="222"/>
      <c r="G90" s="219"/>
      <c r="H90" s="219"/>
      <c r="I90" s="219"/>
      <c r="J90" s="171"/>
      <c r="K90" s="2"/>
      <c r="L90" s="2"/>
      <c r="M90" s="2"/>
    </row>
    <row r="91" spans="1:13" x14ac:dyDescent="0.25">
      <c r="A91" s="166"/>
      <c r="B91" s="268" t="s">
        <v>282</v>
      </c>
      <c r="C91" s="254"/>
      <c r="D91" s="302">
        <v>0.68</v>
      </c>
      <c r="E91" s="302">
        <v>0.68</v>
      </c>
      <c r="F91" s="222"/>
      <c r="G91" s="219"/>
      <c r="H91" s="219"/>
      <c r="I91" s="219"/>
      <c r="J91" s="171"/>
      <c r="K91" s="2"/>
      <c r="L91" s="2"/>
      <c r="M91" s="2"/>
    </row>
    <row r="92" spans="1:13" x14ac:dyDescent="0.25">
      <c r="A92" s="166"/>
      <c r="B92" s="172" t="s">
        <v>151</v>
      </c>
      <c r="C92" s="173">
        <v>180</v>
      </c>
      <c r="D92" s="174">
        <v>189</v>
      </c>
      <c r="E92" s="174">
        <f>C92*200/K92</f>
        <v>180</v>
      </c>
      <c r="F92" s="175">
        <v>5.0199999999999996</v>
      </c>
      <c r="G92" s="175">
        <v>5.74</v>
      </c>
      <c r="H92" s="175">
        <v>8.44</v>
      </c>
      <c r="I92" s="175">
        <v>105.57</v>
      </c>
      <c r="J92" s="166" t="s">
        <v>441</v>
      </c>
      <c r="K92" s="72">
        <v>200</v>
      </c>
      <c r="L92" s="2"/>
      <c r="M92" s="2"/>
    </row>
    <row r="93" spans="1:13" x14ac:dyDescent="0.25">
      <c r="A93" s="5" t="s">
        <v>72</v>
      </c>
      <c r="B93" s="6"/>
      <c r="C93" s="8">
        <f>SUM(C73:C92)</f>
        <v>225</v>
      </c>
      <c r="D93" s="77"/>
      <c r="E93" s="77"/>
      <c r="F93" s="165">
        <f>SUM(F73:F92)</f>
        <v>8.07</v>
      </c>
      <c r="G93" s="165">
        <f>SUM(G73:G92)</f>
        <v>8.65</v>
      </c>
      <c r="H93" s="165">
        <f>SUM(H73:H92)</f>
        <v>30.11</v>
      </c>
      <c r="I93" s="165">
        <f>SUM(I73:I92)</f>
        <v>232.56</v>
      </c>
      <c r="J93" s="6"/>
      <c r="K93" s="2"/>
      <c r="L93" s="2"/>
      <c r="M93" s="2"/>
    </row>
    <row r="94" spans="1:13" x14ac:dyDescent="0.25">
      <c r="A94" s="166" t="s">
        <v>73</v>
      </c>
      <c r="B94" s="125" t="s">
        <v>256</v>
      </c>
      <c r="C94" s="126">
        <v>60</v>
      </c>
      <c r="D94" s="127"/>
      <c r="E94" s="127"/>
      <c r="F94" s="126">
        <v>10.8</v>
      </c>
      <c r="G94" s="126">
        <v>12.94</v>
      </c>
      <c r="H94" s="126">
        <v>3.96</v>
      </c>
      <c r="I94" s="126">
        <f>C94*204.93/K94</f>
        <v>175.65428571428572</v>
      </c>
      <c r="J94" s="46" t="s">
        <v>397</v>
      </c>
      <c r="K94" s="2">
        <v>70</v>
      </c>
      <c r="L94" s="2"/>
      <c r="M94" s="2"/>
    </row>
    <row r="95" spans="1:13" x14ac:dyDescent="0.25">
      <c r="A95" s="166"/>
      <c r="B95" s="66" t="s">
        <v>257</v>
      </c>
      <c r="C95" s="126"/>
      <c r="D95" s="127">
        <f>C94*61.5/K94</f>
        <v>52.714285714285715</v>
      </c>
      <c r="E95" s="127">
        <f>C94*56/K94</f>
        <v>48</v>
      </c>
      <c r="F95" s="126"/>
      <c r="G95" s="126"/>
      <c r="H95" s="126"/>
      <c r="I95" s="126"/>
      <c r="J95" s="4" t="s">
        <v>16</v>
      </c>
      <c r="K95" s="2"/>
      <c r="L95" s="2"/>
      <c r="M95" s="2"/>
    </row>
    <row r="96" spans="1:13" x14ac:dyDescent="0.25">
      <c r="A96" s="166"/>
      <c r="B96" s="66" t="s">
        <v>28</v>
      </c>
      <c r="C96" s="126"/>
      <c r="D96" s="127">
        <f>$C$94*6/$K$94</f>
        <v>5.1428571428571432</v>
      </c>
      <c r="E96" s="127">
        <f>$C$94*6/$K$94</f>
        <v>5.1428571428571432</v>
      </c>
      <c r="F96" s="126"/>
      <c r="G96" s="126"/>
      <c r="H96" s="126"/>
      <c r="I96" s="126"/>
      <c r="J96" s="4"/>
      <c r="K96" s="2"/>
      <c r="L96" s="2"/>
      <c r="M96" s="2"/>
    </row>
    <row r="97" spans="1:23" x14ac:dyDescent="0.25">
      <c r="A97" s="166"/>
      <c r="B97" s="66" t="s">
        <v>258</v>
      </c>
      <c r="C97" s="126"/>
      <c r="D97" s="127">
        <v>25</v>
      </c>
      <c r="E97" s="127">
        <v>25</v>
      </c>
      <c r="F97" s="126"/>
      <c r="G97" s="126"/>
      <c r="H97" s="126"/>
      <c r="I97" s="126"/>
      <c r="J97" s="4"/>
      <c r="K97" s="2"/>
      <c r="L97" s="2"/>
      <c r="M97" s="2"/>
    </row>
    <row r="98" spans="1:23" x14ac:dyDescent="0.25">
      <c r="A98" s="166"/>
      <c r="B98" s="66" t="s">
        <v>259</v>
      </c>
      <c r="C98" s="126"/>
      <c r="D98" s="127" t="s">
        <v>377</v>
      </c>
      <c r="E98" s="127">
        <f>C94*4/K94</f>
        <v>3.4285714285714284</v>
      </c>
      <c r="F98" s="126"/>
      <c r="G98" s="126"/>
      <c r="H98" s="126"/>
      <c r="I98" s="126"/>
      <c r="J98" s="4"/>
      <c r="K98" s="2"/>
      <c r="L98" s="2"/>
      <c r="M98" s="2"/>
    </row>
    <row r="99" spans="1:23" ht="31.5" x14ac:dyDescent="0.25">
      <c r="A99" s="166"/>
      <c r="B99" s="123" t="s">
        <v>260</v>
      </c>
      <c r="C99" s="126"/>
      <c r="D99" s="127">
        <f>$C$94*2/$K$94</f>
        <v>1.7142857142857142</v>
      </c>
      <c r="E99" s="127">
        <f>$C$94*2/$K$94</f>
        <v>1.7142857142857142</v>
      </c>
      <c r="F99" s="126"/>
      <c r="G99" s="126"/>
      <c r="H99" s="126"/>
      <c r="I99" s="126"/>
      <c r="J99" s="171"/>
      <c r="K99" s="2"/>
      <c r="L99" s="2"/>
      <c r="M99" s="2"/>
    </row>
    <row r="100" spans="1:23" x14ac:dyDescent="0.25">
      <c r="A100" s="166"/>
      <c r="B100" s="66" t="s">
        <v>20</v>
      </c>
      <c r="C100" s="126"/>
      <c r="D100" s="127">
        <v>0.3</v>
      </c>
      <c r="E100" s="127">
        <v>0.3</v>
      </c>
      <c r="F100" s="126"/>
      <c r="G100" s="126"/>
      <c r="H100" s="126"/>
      <c r="I100" s="126"/>
      <c r="J100" s="171"/>
      <c r="K100" s="2"/>
      <c r="L100" s="2"/>
      <c r="M100" s="2"/>
    </row>
    <row r="101" spans="1:23" x14ac:dyDescent="0.25">
      <c r="A101" s="166"/>
      <c r="B101" s="97" t="s">
        <v>65</v>
      </c>
      <c r="C101" s="126">
        <v>120</v>
      </c>
      <c r="D101" s="83"/>
      <c r="E101" s="83"/>
      <c r="F101" s="46">
        <v>3.14</v>
      </c>
      <c r="G101" s="46">
        <f>C101*4.2/K101</f>
        <v>3.8769230769230769</v>
      </c>
      <c r="H101" s="46">
        <f>C101*17.49/K101</f>
        <v>16.144615384615381</v>
      </c>
      <c r="I101" s="46">
        <f>C101*113.31/K101</f>
        <v>104.59384615384616</v>
      </c>
      <c r="J101" s="46" t="s">
        <v>66</v>
      </c>
      <c r="K101" s="72">
        <v>130</v>
      </c>
      <c r="L101" s="2"/>
      <c r="M101" s="2"/>
    </row>
    <row r="102" spans="1:23" ht="31.5" x14ac:dyDescent="0.25">
      <c r="A102" s="166"/>
      <c r="B102" s="179" t="s">
        <v>59</v>
      </c>
      <c r="C102" s="122"/>
      <c r="D102" s="180">
        <v>157.80000000000001</v>
      </c>
      <c r="E102" s="180">
        <f>C101*136.5/K101</f>
        <v>126</v>
      </c>
      <c r="F102" s="46"/>
      <c r="G102" s="46"/>
      <c r="H102" s="46"/>
      <c r="I102" s="46"/>
      <c r="J102" s="46" t="s">
        <v>16</v>
      </c>
      <c r="K102" s="2"/>
      <c r="L102" s="2"/>
      <c r="M102" s="2"/>
    </row>
    <row r="103" spans="1:23" ht="31.5" x14ac:dyDescent="0.25">
      <c r="A103" s="166"/>
      <c r="B103" s="179" t="s">
        <v>60</v>
      </c>
      <c r="C103" s="122"/>
      <c r="D103" s="180">
        <f>C101*5.86/K101</f>
        <v>5.4092307692307697</v>
      </c>
      <c r="E103" s="180">
        <f>C101*5.86/K101</f>
        <v>5.4092307692307697</v>
      </c>
      <c r="F103" s="46"/>
      <c r="G103" s="46"/>
      <c r="H103" s="46"/>
      <c r="I103" s="46"/>
      <c r="J103" s="66"/>
      <c r="K103" s="2"/>
      <c r="L103" s="2"/>
      <c r="M103" s="2"/>
    </row>
    <row r="104" spans="1:23" x14ac:dyDescent="0.25">
      <c r="A104" s="166"/>
      <c r="B104" s="179" t="s">
        <v>61</v>
      </c>
      <c r="C104" s="122"/>
      <c r="D104" s="180">
        <f>C101*6.5/K101</f>
        <v>6</v>
      </c>
      <c r="E104" s="180">
        <f>C101*5.2/K101</f>
        <v>4.8</v>
      </c>
      <c r="F104" s="46"/>
      <c r="G104" s="46"/>
      <c r="H104" s="46"/>
      <c r="I104" s="46"/>
      <c r="J104" s="66"/>
      <c r="K104" s="2"/>
      <c r="L104" s="2"/>
      <c r="M104" s="2"/>
    </row>
    <row r="105" spans="1:23" x14ac:dyDescent="0.25">
      <c r="A105" s="166"/>
      <c r="B105" s="181" t="s">
        <v>62</v>
      </c>
      <c r="C105" s="122"/>
      <c r="D105" s="180">
        <v>8.5</v>
      </c>
      <c r="E105" s="180">
        <f>C101*7.8/K101</f>
        <v>7.2</v>
      </c>
      <c r="F105" s="46"/>
      <c r="G105" s="46"/>
      <c r="H105" s="46"/>
      <c r="I105" s="46"/>
      <c r="J105" s="66"/>
      <c r="K105" s="2"/>
      <c r="L105" s="2"/>
      <c r="M105" s="2"/>
    </row>
    <row r="106" spans="1:23" ht="31.5" x14ac:dyDescent="0.25">
      <c r="A106" s="166"/>
      <c r="B106" s="181" t="s">
        <v>36</v>
      </c>
      <c r="C106" s="122"/>
      <c r="D106" s="180">
        <f>$C$101*4.2/$K$101</f>
        <v>3.8769230769230769</v>
      </c>
      <c r="E106" s="180">
        <f>$C$101*4.2/$K$101</f>
        <v>3.8769230769230769</v>
      </c>
      <c r="F106" s="46"/>
      <c r="G106" s="46"/>
      <c r="H106" s="46"/>
      <c r="I106" s="46"/>
      <c r="J106" s="66"/>
      <c r="K106" s="2"/>
      <c r="L106" s="2"/>
      <c r="M106" s="2"/>
    </row>
    <row r="107" spans="1:23" x14ac:dyDescent="0.25">
      <c r="A107" s="166"/>
      <c r="B107" s="179" t="s">
        <v>63</v>
      </c>
      <c r="C107" s="122"/>
      <c r="D107" s="180">
        <f>C101*1.56/K101</f>
        <v>1.4400000000000002</v>
      </c>
      <c r="E107" s="180">
        <f>C101*1.56/K101</f>
        <v>1.4400000000000002</v>
      </c>
      <c r="F107" s="46"/>
      <c r="G107" s="46"/>
      <c r="H107" s="46"/>
      <c r="I107" s="46"/>
      <c r="J107" s="66"/>
      <c r="K107" s="2"/>
      <c r="L107" s="2"/>
      <c r="M107" s="2"/>
    </row>
    <row r="108" spans="1:23" x14ac:dyDescent="0.25">
      <c r="A108" s="166"/>
      <c r="B108" s="179" t="s">
        <v>64</v>
      </c>
      <c r="C108" s="122"/>
      <c r="D108" s="180">
        <v>1.62</v>
      </c>
      <c r="E108" s="180">
        <v>1.2</v>
      </c>
      <c r="F108" s="46"/>
      <c r="G108" s="46"/>
      <c r="H108" s="46"/>
      <c r="I108" s="46"/>
      <c r="J108" s="66"/>
      <c r="K108" s="2"/>
      <c r="L108" s="2"/>
      <c r="M108" s="2"/>
    </row>
    <row r="109" spans="1:23" x14ac:dyDescent="0.25">
      <c r="A109" s="166"/>
      <c r="B109" s="179" t="s">
        <v>39</v>
      </c>
      <c r="C109" s="122"/>
      <c r="D109" s="180">
        <v>3.6</v>
      </c>
      <c r="E109" s="180">
        <f>$C$101*3.9/$K$101</f>
        <v>3.6</v>
      </c>
      <c r="F109" s="46"/>
      <c r="G109" s="46"/>
      <c r="H109" s="46"/>
      <c r="I109" s="46"/>
      <c r="J109" s="66"/>
      <c r="K109" s="2"/>
      <c r="L109" s="2"/>
      <c r="M109" s="2"/>
    </row>
    <row r="110" spans="1:23" x14ac:dyDescent="0.25">
      <c r="A110" s="166"/>
      <c r="B110" s="179" t="s">
        <v>20</v>
      </c>
      <c r="C110" s="122"/>
      <c r="D110" s="180">
        <f>$C$101*0.6/$K$101</f>
        <v>0.55384615384615388</v>
      </c>
      <c r="E110" s="180">
        <f>$C$101*0.6/$K$101</f>
        <v>0.55384615384615388</v>
      </c>
      <c r="F110" s="46"/>
      <c r="G110" s="46"/>
      <c r="H110" s="46"/>
      <c r="I110" s="46"/>
      <c r="J110" s="66"/>
      <c r="K110" s="2"/>
      <c r="L110" s="2"/>
      <c r="M110" s="2"/>
    </row>
    <row r="111" spans="1:23" ht="47.25" x14ac:dyDescent="0.25">
      <c r="A111" s="3"/>
      <c r="B111" s="125" t="s">
        <v>405</v>
      </c>
      <c r="C111" s="126">
        <v>180</v>
      </c>
      <c r="D111" s="127"/>
      <c r="E111" s="127"/>
      <c r="F111" s="126">
        <v>0.18</v>
      </c>
      <c r="G111" s="126">
        <v>0</v>
      </c>
      <c r="H111" s="126">
        <v>0.09</v>
      </c>
      <c r="I111" s="126">
        <v>1.26</v>
      </c>
      <c r="J111" s="202" t="s">
        <v>427</v>
      </c>
      <c r="K111" s="72">
        <v>180</v>
      </c>
      <c r="L111" s="2"/>
      <c r="M111" s="4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3"/>
      <c r="B112" s="66" t="s">
        <v>80</v>
      </c>
      <c r="C112" s="126"/>
      <c r="D112" s="127">
        <v>0.9</v>
      </c>
      <c r="E112" s="127">
        <v>0.9</v>
      </c>
      <c r="F112" s="126"/>
      <c r="G112" s="126"/>
      <c r="H112" s="126"/>
      <c r="I112" s="126"/>
      <c r="J112" s="231"/>
      <c r="K112" s="72"/>
      <c r="L112" s="2"/>
      <c r="M112" s="231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3"/>
      <c r="B113" s="66" t="s">
        <v>27</v>
      </c>
      <c r="C113" s="126"/>
      <c r="D113" s="127">
        <v>180</v>
      </c>
      <c r="E113" s="127">
        <v>180</v>
      </c>
      <c r="F113" s="126"/>
      <c r="G113" s="126"/>
      <c r="H113" s="126"/>
      <c r="I113" s="126"/>
      <c r="J113" s="3"/>
      <c r="K113" s="7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97" t="s">
        <v>28</v>
      </c>
      <c r="C114" s="129">
        <v>20</v>
      </c>
      <c r="D114" s="130">
        <v>20</v>
      </c>
      <c r="E114" s="130">
        <v>20</v>
      </c>
      <c r="F114" s="126">
        <v>1.52</v>
      </c>
      <c r="G114" s="126">
        <v>0.18</v>
      </c>
      <c r="H114" s="126">
        <v>9.34</v>
      </c>
      <c r="I114" s="126">
        <v>46.2</v>
      </c>
      <c r="J114" s="3"/>
      <c r="K114" s="72">
        <v>20</v>
      </c>
      <c r="L114" s="2"/>
      <c r="M114" s="2"/>
    </row>
    <row r="115" spans="1:23" x14ac:dyDescent="0.25">
      <c r="A115" s="3"/>
      <c r="B115" s="125" t="s">
        <v>84</v>
      </c>
      <c r="C115" s="129">
        <v>20</v>
      </c>
      <c r="D115" s="80">
        <f>C115</f>
        <v>20</v>
      </c>
      <c r="E115" s="80">
        <f>C115</f>
        <v>20</v>
      </c>
      <c r="F115" s="129">
        <f>C115*1.54/K115</f>
        <v>1.54</v>
      </c>
      <c r="G115" s="129">
        <f>C115*0.28/K115</f>
        <v>0.28000000000000003</v>
      </c>
      <c r="H115" s="129">
        <f>C115*7.52/K115</f>
        <v>7.5199999999999987</v>
      </c>
      <c r="I115" s="129">
        <f>C115*40.2/K115</f>
        <v>40.200000000000003</v>
      </c>
      <c r="J115" s="3"/>
      <c r="K115" s="72">
        <v>20</v>
      </c>
      <c r="L115" s="2"/>
      <c r="M115" s="2"/>
    </row>
    <row r="116" spans="1:23" x14ac:dyDescent="0.25">
      <c r="A116" s="5" t="s">
        <v>81</v>
      </c>
      <c r="B116" s="5"/>
      <c r="C116" s="8">
        <f>SUM(C94:C115)</f>
        <v>400</v>
      </c>
      <c r="D116" s="165"/>
      <c r="E116" s="165"/>
      <c r="F116" s="225">
        <f>SUM(F94:F115)</f>
        <v>17.18</v>
      </c>
      <c r="G116" s="225">
        <f>SUM(G94:G115)</f>
        <v>17.276923076923076</v>
      </c>
      <c r="H116" s="225">
        <f>SUM(H94:H115)</f>
        <v>37.054615384615381</v>
      </c>
      <c r="I116" s="225">
        <f>SUM(I94:I115)</f>
        <v>367.90813186813182</v>
      </c>
      <c r="J116" s="5"/>
      <c r="K116" s="2"/>
      <c r="L116" s="2"/>
      <c r="M116" s="2"/>
    </row>
    <row r="117" spans="1:23" x14ac:dyDescent="0.25">
      <c r="A117" s="13" t="s">
        <v>82</v>
      </c>
      <c r="B117" s="13"/>
      <c r="C117" s="13"/>
      <c r="D117" s="14"/>
      <c r="E117" s="14"/>
      <c r="F117" s="14">
        <f>F23+F25+F72+F93+F116</f>
        <v>55.658857142857137</v>
      </c>
      <c r="G117" s="14">
        <f>G23+G25+G72+G93+G116</f>
        <v>60.863065934065929</v>
      </c>
      <c r="H117" s="14">
        <f>H23+H25+H72+H93+H116</f>
        <v>194.44390109890111</v>
      </c>
      <c r="I117" s="14">
        <f>I23+I25+I72+I93+I116</f>
        <v>1507.0701318681317</v>
      </c>
      <c r="J117" s="13"/>
      <c r="K117" s="2"/>
      <c r="L117" s="2"/>
      <c r="M117" s="2"/>
    </row>
    <row r="118" spans="1:23" ht="16.5" thickBot="1" x14ac:dyDescent="0.3">
      <c r="J118" s="2"/>
      <c r="K118" s="2"/>
      <c r="L118" s="2"/>
      <c r="M118" s="2"/>
    </row>
    <row r="119" spans="1:23" ht="16.5" thickBot="1" x14ac:dyDescent="0.3">
      <c r="A119" s="182" t="s">
        <v>131</v>
      </c>
      <c r="B119" s="183" t="s">
        <v>132</v>
      </c>
      <c r="C119" s="184" t="s">
        <v>133</v>
      </c>
      <c r="D119" s="227" t="s">
        <v>134</v>
      </c>
      <c r="E119" s="228"/>
      <c r="F119" s="186"/>
      <c r="G119" s="186"/>
      <c r="H119" s="186"/>
      <c r="J119" s="2"/>
      <c r="K119" s="2"/>
      <c r="L119" s="2"/>
      <c r="M119" s="2"/>
    </row>
    <row r="120" spans="1:23" x14ac:dyDescent="0.25">
      <c r="A120" s="187" t="s">
        <v>135</v>
      </c>
      <c r="B120" s="188">
        <f>I23</f>
        <v>352.03600000000006</v>
      </c>
      <c r="C120" s="189">
        <f>B120/B125*100</f>
        <v>23.358966019957133</v>
      </c>
      <c r="D120" s="190">
        <v>0.2</v>
      </c>
      <c r="E120" s="229"/>
      <c r="F120" s="70"/>
      <c r="G120" s="191"/>
      <c r="H120" s="192"/>
      <c r="J120" s="2"/>
      <c r="K120" s="2"/>
      <c r="L120" s="2"/>
      <c r="M120" s="2"/>
    </row>
    <row r="121" spans="1:23" x14ac:dyDescent="0.25">
      <c r="A121" s="187" t="s">
        <v>136</v>
      </c>
      <c r="B121" s="188">
        <f>I25</f>
        <v>49.5</v>
      </c>
      <c r="C121" s="189">
        <f>B121/B125*100</f>
        <v>3.2845186798733024</v>
      </c>
      <c r="D121" s="190">
        <v>0.05</v>
      </c>
      <c r="E121" s="229"/>
      <c r="F121" s="70"/>
      <c r="G121" s="191"/>
      <c r="H121" s="192"/>
      <c r="J121" s="2"/>
      <c r="K121" s="2"/>
      <c r="L121" s="2"/>
      <c r="M121" s="2"/>
    </row>
    <row r="122" spans="1:23" x14ac:dyDescent="0.25">
      <c r="A122" s="193" t="s">
        <v>137</v>
      </c>
      <c r="B122" s="194">
        <f>I72</f>
        <v>505.06600000000003</v>
      </c>
      <c r="C122" s="195">
        <f>B122/B125*100</f>
        <v>33.513105284219989</v>
      </c>
      <c r="D122" s="196">
        <v>0.35</v>
      </c>
      <c r="E122" s="229"/>
      <c r="F122" s="70"/>
      <c r="G122" s="191"/>
      <c r="H122" s="157"/>
      <c r="J122" s="2"/>
      <c r="K122" s="2"/>
      <c r="L122" s="2"/>
      <c r="M122" s="2"/>
    </row>
    <row r="123" spans="1:23" x14ac:dyDescent="0.25">
      <c r="A123" s="193" t="s">
        <v>138</v>
      </c>
      <c r="B123" s="194">
        <f>I93</f>
        <v>232.56</v>
      </c>
      <c r="C123" s="195">
        <f>B123/B125*100</f>
        <v>15.431265943259298</v>
      </c>
      <c r="D123" s="196">
        <v>0.15</v>
      </c>
      <c r="E123" s="229"/>
      <c r="F123" s="70"/>
      <c r="G123" s="191"/>
      <c r="H123" s="192"/>
      <c r="J123" s="2"/>
      <c r="K123" s="2"/>
      <c r="L123" s="2"/>
      <c r="M123" s="2"/>
    </row>
    <row r="124" spans="1:23" ht="16.5" thickBot="1" x14ac:dyDescent="0.3">
      <c r="A124" s="193" t="s">
        <v>139</v>
      </c>
      <c r="B124" s="194">
        <f>I116</f>
        <v>367.90813186813182</v>
      </c>
      <c r="C124" s="195">
        <f>B124/B125*100</f>
        <v>24.412144072690285</v>
      </c>
      <c r="D124" s="196">
        <v>0.25</v>
      </c>
      <c r="E124" s="229"/>
      <c r="F124" s="70"/>
      <c r="G124" s="191"/>
      <c r="H124" s="192"/>
      <c r="J124" s="2"/>
      <c r="K124" s="2"/>
      <c r="L124" s="2"/>
      <c r="M124" s="2"/>
    </row>
    <row r="125" spans="1:23" ht="16.5" thickBot="1" x14ac:dyDescent="0.3">
      <c r="A125" s="197" t="s">
        <v>140</v>
      </c>
      <c r="B125" s="198">
        <f>SUM(B120:B124)</f>
        <v>1507.0701318681317</v>
      </c>
      <c r="C125" s="199"/>
      <c r="D125" s="230"/>
      <c r="E125" s="229"/>
      <c r="F125" s="70"/>
      <c r="G125" s="70"/>
      <c r="H125" s="70"/>
      <c r="J125" s="2"/>
      <c r="K125" s="2"/>
      <c r="L125" s="2"/>
      <c r="M125" s="2"/>
    </row>
    <row r="126" spans="1:23" x14ac:dyDescent="0.25">
      <c r="J126" s="2"/>
      <c r="K126" s="2"/>
      <c r="L126" s="2"/>
      <c r="M126" s="2"/>
    </row>
    <row r="127" spans="1:23" x14ac:dyDescent="0.25">
      <c r="A127" s="2"/>
      <c r="B127" s="2"/>
      <c r="C127" s="2"/>
      <c r="D127" s="74"/>
      <c r="E127" s="74"/>
      <c r="F127" s="2"/>
      <c r="G127" s="2"/>
      <c r="H127" s="2"/>
      <c r="I127" s="2"/>
      <c r="J127" s="2"/>
      <c r="K127" s="2"/>
      <c r="L127" s="2"/>
      <c r="M127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11"/>
  <sheetViews>
    <sheetView view="pageBreakPreview" topLeftCell="A79" zoomScale="98" zoomScaleSheetLayoutView="98" workbookViewId="0">
      <selection activeCell="E85" sqref="E85"/>
    </sheetView>
  </sheetViews>
  <sheetFormatPr defaultRowHeight="15.75" x14ac:dyDescent="0.25"/>
  <cols>
    <col min="1" max="1" width="15.85546875" style="124" customWidth="1"/>
    <col min="2" max="2" width="23.7109375" style="124" customWidth="1"/>
    <col min="3" max="7" width="9.140625" style="124"/>
    <col min="8" max="8" width="10.7109375" style="124" bestFit="1" customWidth="1"/>
    <col min="9" max="9" width="9.140625" style="124"/>
    <col min="10" max="10" width="15.5703125" style="124" customWidth="1"/>
    <col min="11" max="16384" width="9.140625" style="124"/>
  </cols>
  <sheetData>
    <row r="1" spans="1:15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2"/>
      <c r="L1" s="2"/>
      <c r="M1" s="2"/>
    </row>
    <row r="2" spans="1:15" x14ac:dyDescent="0.25">
      <c r="A2" s="2" t="s">
        <v>383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411" t="s">
        <v>1</v>
      </c>
      <c r="B4" s="411" t="s">
        <v>2</v>
      </c>
      <c r="C4" s="411" t="s">
        <v>3</v>
      </c>
      <c r="D4" s="413" t="s">
        <v>12</v>
      </c>
      <c r="E4" s="414"/>
      <c r="F4" s="409" t="s">
        <v>7</v>
      </c>
      <c r="G4" s="410"/>
      <c r="H4" s="410"/>
      <c r="I4" s="411" t="s">
        <v>8</v>
      </c>
      <c r="J4" s="409" t="s">
        <v>9</v>
      </c>
      <c r="K4" s="2"/>
      <c r="L4" s="2"/>
      <c r="M4" s="2"/>
    </row>
    <row r="5" spans="1:15" x14ac:dyDescent="0.25">
      <c r="A5" s="412"/>
      <c r="B5" s="412"/>
      <c r="C5" s="412"/>
      <c r="D5" s="282" t="s">
        <v>10</v>
      </c>
      <c r="E5" s="282" t="s">
        <v>11</v>
      </c>
      <c r="F5" s="4" t="s">
        <v>4</v>
      </c>
      <c r="G5" s="4" t="s">
        <v>5</v>
      </c>
      <c r="H5" s="4" t="s">
        <v>6</v>
      </c>
      <c r="I5" s="412"/>
      <c r="J5" s="410"/>
      <c r="K5" s="2"/>
      <c r="L5" s="2"/>
      <c r="M5" s="2"/>
    </row>
    <row r="6" spans="1:15" ht="31.5" x14ac:dyDescent="0.25">
      <c r="A6" s="201" t="s">
        <v>261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5" ht="31.5" x14ac:dyDescent="0.25">
      <c r="A7" s="4" t="s">
        <v>14</v>
      </c>
      <c r="B7" s="125" t="s">
        <v>464</v>
      </c>
      <c r="C7" s="126">
        <v>130</v>
      </c>
      <c r="D7" s="122"/>
      <c r="E7" s="122"/>
      <c r="F7" s="126">
        <v>4.7</v>
      </c>
      <c r="G7" s="126">
        <v>5.1100000000000003</v>
      </c>
      <c r="H7" s="126">
        <v>22.34</v>
      </c>
      <c r="I7" s="126">
        <v>154.58000000000001</v>
      </c>
      <c r="J7" s="4" t="s">
        <v>413</v>
      </c>
      <c r="K7" s="2"/>
      <c r="L7" s="2"/>
      <c r="M7" s="2"/>
    </row>
    <row r="8" spans="1:15" x14ac:dyDescent="0.25">
      <c r="A8" s="3"/>
      <c r="B8" s="66" t="s">
        <v>443</v>
      </c>
      <c r="C8" s="122"/>
      <c r="D8" s="122">
        <v>25.4</v>
      </c>
      <c r="E8" s="122">
        <v>25.4</v>
      </c>
      <c r="F8" s="126"/>
      <c r="G8" s="126"/>
      <c r="H8" s="126"/>
      <c r="I8" s="126"/>
      <c r="J8" s="4" t="s">
        <v>16</v>
      </c>
      <c r="K8" s="2"/>
      <c r="L8" s="2"/>
      <c r="M8" s="2"/>
    </row>
    <row r="9" spans="1:15" x14ac:dyDescent="0.25">
      <c r="A9" s="3"/>
      <c r="B9" s="66" t="s">
        <v>27</v>
      </c>
      <c r="C9" s="122"/>
      <c r="D9" s="122">
        <v>43.2</v>
      </c>
      <c r="E9" s="122">
        <v>43.2</v>
      </c>
      <c r="F9" s="126"/>
      <c r="G9" s="126"/>
      <c r="H9" s="126"/>
      <c r="I9" s="126"/>
      <c r="J9" s="4"/>
      <c r="K9" s="2"/>
      <c r="L9" s="2"/>
      <c r="M9" s="2"/>
    </row>
    <row r="10" spans="1:15" x14ac:dyDescent="0.25">
      <c r="A10" s="3"/>
      <c r="B10" s="123" t="s">
        <v>18</v>
      </c>
      <c r="C10" s="122"/>
      <c r="D10" s="122">
        <v>63.5</v>
      </c>
      <c r="E10" s="122">
        <v>63.5</v>
      </c>
      <c r="F10" s="126"/>
      <c r="G10" s="126"/>
      <c r="H10" s="126"/>
      <c r="I10" s="126"/>
      <c r="J10" s="3"/>
      <c r="K10" s="2"/>
      <c r="L10" s="2"/>
      <c r="M10" s="2"/>
    </row>
    <row r="11" spans="1:15" x14ac:dyDescent="0.25">
      <c r="A11" s="3"/>
      <c r="B11" s="66" t="s">
        <v>19</v>
      </c>
      <c r="C11" s="122"/>
      <c r="D11" s="122">
        <v>3.1</v>
      </c>
      <c r="E11" s="122">
        <v>3.1</v>
      </c>
      <c r="F11" s="126"/>
      <c r="G11" s="126"/>
      <c r="H11" s="126"/>
      <c r="I11" s="126"/>
      <c r="J11" s="3"/>
      <c r="K11" s="2"/>
      <c r="L11" s="2"/>
      <c r="M11" s="2"/>
    </row>
    <row r="12" spans="1:15" x14ac:dyDescent="0.25">
      <c r="A12" s="3"/>
      <c r="B12" s="66" t="s">
        <v>20</v>
      </c>
      <c r="C12" s="122"/>
      <c r="D12" s="122">
        <v>0.52</v>
      </c>
      <c r="E12" s="122">
        <v>0.52</v>
      </c>
      <c r="F12" s="126"/>
      <c r="G12" s="126"/>
      <c r="H12" s="126"/>
      <c r="I12" s="126"/>
      <c r="J12" s="3"/>
      <c r="K12" s="2"/>
      <c r="L12" s="2"/>
      <c r="M12" s="2"/>
    </row>
    <row r="13" spans="1:15" x14ac:dyDescent="0.25">
      <c r="A13" s="3"/>
      <c r="B13" s="46" t="s">
        <v>21</v>
      </c>
      <c r="C13" s="122"/>
      <c r="D13" s="122"/>
      <c r="E13" s="126">
        <v>127</v>
      </c>
      <c r="F13" s="126"/>
      <c r="G13" s="126"/>
      <c r="H13" s="126"/>
      <c r="I13" s="126"/>
      <c r="J13" s="3"/>
      <c r="K13" s="2"/>
      <c r="L13" s="2"/>
      <c r="M13" s="2"/>
    </row>
    <row r="14" spans="1:15" x14ac:dyDescent="0.25">
      <c r="A14" s="3"/>
      <c r="B14" s="66" t="s">
        <v>22</v>
      </c>
      <c r="C14" s="122"/>
      <c r="D14" s="122">
        <v>3</v>
      </c>
      <c r="E14" s="122">
        <v>3</v>
      </c>
      <c r="F14" s="126"/>
      <c r="G14" s="126"/>
      <c r="H14" s="126"/>
      <c r="I14" s="126"/>
      <c r="J14" s="3"/>
      <c r="K14" s="2"/>
      <c r="L14" s="2"/>
      <c r="M14" s="2"/>
    </row>
    <row r="15" spans="1:15" x14ac:dyDescent="0.25">
      <c r="A15" s="3"/>
      <c r="B15" s="210" t="s">
        <v>416</v>
      </c>
      <c r="C15" s="168">
        <v>10</v>
      </c>
      <c r="D15" s="169">
        <v>10.1</v>
      </c>
      <c r="E15" s="169">
        <v>10</v>
      </c>
      <c r="F15" s="129">
        <v>0.04</v>
      </c>
      <c r="G15" s="129">
        <v>0</v>
      </c>
      <c r="H15" s="129">
        <v>6.53</v>
      </c>
      <c r="I15" s="129">
        <v>25</v>
      </c>
      <c r="J15" s="3"/>
      <c r="K15" s="2"/>
      <c r="L15" s="69"/>
      <c r="M15" s="69"/>
      <c r="N15" s="69"/>
      <c r="O15" s="205"/>
    </row>
    <row r="16" spans="1:15" ht="31.5" x14ac:dyDescent="0.25">
      <c r="A16" s="3"/>
      <c r="B16" s="45" t="s">
        <v>24</v>
      </c>
      <c r="C16" s="126">
        <v>170</v>
      </c>
      <c r="D16" s="315"/>
      <c r="E16" s="315"/>
      <c r="F16" s="126">
        <v>3.23</v>
      </c>
      <c r="G16" s="126">
        <v>2.97</v>
      </c>
      <c r="H16" s="126">
        <v>9.52</v>
      </c>
      <c r="I16" s="126">
        <v>77.52</v>
      </c>
      <c r="J16" s="46" t="s">
        <v>425</v>
      </c>
      <c r="K16" s="2"/>
      <c r="L16" s="2"/>
      <c r="M16" s="2"/>
      <c r="N16" s="94"/>
      <c r="O16" s="205"/>
    </row>
    <row r="17" spans="1:15" x14ac:dyDescent="0.25">
      <c r="A17" s="3"/>
      <c r="B17" s="134" t="s">
        <v>25</v>
      </c>
      <c r="C17" s="234"/>
      <c r="D17" s="135">
        <v>4.25</v>
      </c>
      <c r="E17" s="135">
        <v>4.25</v>
      </c>
      <c r="F17" s="122"/>
      <c r="G17" s="122"/>
      <c r="H17" s="122"/>
      <c r="I17" s="122"/>
      <c r="J17" s="46"/>
      <c r="K17" s="2"/>
      <c r="L17" s="2"/>
      <c r="M17" s="2"/>
      <c r="N17" s="94"/>
      <c r="O17" s="205"/>
    </row>
    <row r="18" spans="1:15" x14ac:dyDescent="0.25">
      <c r="A18" s="3"/>
      <c r="B18" s="134" t="s">
        <v>19</v>
      </c>
      <c r="C18" s="234"/>
      <c r="D18" s="135">
        <v>5.95</v>
      </c>
      <c r="E18" s="135">
        <v>5.95</v>
      </c>
      <c r="F18" s="122"/>
      <c r="G18" s="122"/>
      <c r="H18" s="122"/>
      <c r="I18" s="122"/>
      <c r="J18" s="46"/>
      <c r="K18" s="2"/>
      <c r="L18" s="2"/>
      <c r="M18" s="2"/>
      <c r="N18" s="205"/>
      <c r="O18" s="205"/>
    </row>
    <row r="19" spans="1:15" x14ac:dyDescent="0.25">
      <c r="A19" s="3"/>
      <c r="B19" s="134" t="s">
        <v>26</v>
      </c>
      <c r="C19" s="234"/>
      <c r="D19" s="135">
        <v>85</v>
      </c>
      <c r="E19" s="135">
        <v>85</v>
      </c>
      <c r="F19" s="122"/>
      <c r="G19" s="122"/>
      <c r="H19" s="122"/>
      <c r="I19" s="122"/>
      <c r="J19" s="66"/>
      <c r="K19" s="2"/>
      <c r="L19" s="2"/>
      <c r="M19" s="2"/>
      <c r="N19" s="205"/>
      <c r="O19" s="205"/>
    </row>
    <row r="20" spans="1:15" x14ac:dyDescent="0.25">
      <c r="A20" s="3"/>
      <c r="B20" s="134" t="s">
        <v>27</v>
      </c>
      <c r="C20" s="234"/>
      <c r="D20" s="135">
        <v>102</v>
      </c>
      <c r="E20" s="135">
        <v>102</v>
      </c>
      <c r="F20" s="122"/>
      <c r="G20" s="122"/>
      <c r="H20" s="122"/>
      <c r="I20" s="122"/>
      <c r="J20" s="66"/>
      <c r="K20" s="2"/>
      <c r="L20" s="2"/>
      <c r="M20" s="2"/>
    </row>
    <row r="21" spans="1:15" x14ac:dyDescent="0.25">
      <c r="A21" s="3"/>
      <c r="B21" s="213"/>
      <c r="C21" s="47"/>
      <c r="D21" s="135"/>
      <c r="E21" s="135"/>
      <c r="F21" s="126"/>
      <c r="G21" s="126"/>
      <c r="H21" s="126"/>
      <c r="I21" s="126"/>
      <c r="J21" s="66"/>
      <c r="K21" s="2"/>
      <c r="L21" s="2"/>
      <c r="M21" s="2"/>
    </row>
    <row r="22" spans="1:15" x14ac:dyDescent="0.25">
      <c r="A22" s="3"/>
      <c r="B22" s="97" t="s">
        <v>28</v>
      </c>
      <c r="C22" s="129">
        <v>20</v>
      </c>
      <c r="D22" s="130">
        <f>C22</f>
        <v>20</v>
      </c>
      <c r="E22" s="130">
        <f>C22</f>
        <v>20</v>
      </c>
      <c r="F22" s="126">
        <f>C22*1.52/20</f>
        <v>1.52</v>
      </c>
      <c r="G22" s="126">
        <f>C22*0.18/K22</f>
        <v>0.18</v>
      </c>
      <c r="H22" s="126">
        <f>C22*9.34/K22</f>
        <v>9.34</v>
      </c>
      <c r="I22" s="126">
        <f>C22*46.2/K22</f>
        <v>46.2</v>
      </c>
      <c r="J22" s="3"/>
      <c r="K22" s="72">
        <v>20</v>
      </c>
      <c r="L22" s="2"/>
      <c r="M22" s="2"/>
    </row>
    <row r="23" spans="1:15" x14ac:dyDescent="0.25">
      <c r="A23" s="3"/>
      <c r="B23" s="125" t="s">
        <v>84</v>
      </c>
      <c r="C23" s="129">
        <v>20</v>
      </c>
      <c r="D23" s="130">
        <f>C23</f>
        <v>20</v>
      </c>
      <c r="E23" s="130">
        <f>C23</f>
        <v>20</v>
      </c>
      <c r="F23" s="129">
        <f>C23*1.54/K23</f>
        <v>1.54</v>
      </c>
      <c r="G23" s="129">
        <f>C23*0.28/K23</f>
        <v>0.28000000000000003</v>
      </c>
      <c r="H23" s="129">
        <f>C23*7.52/K23</f>
        <v>7.5199999999999987</v>
      </c>
      <c r="I23" s="129">
        <f>C23*40.2/K23</f>
        <v>40.200000000000003</v>
      </c>
      <c r="J23" s="3"/>
      <c r="K23" s="72">
        <v>20</v>
      </c>
      <c r="L23" s="2"/>
      <c r="M23" s="2"/>
    </row>
    <row r="24" spans="1:15" x14ac:dyDescent="0.25">
      <c r="A24" s="5" t="s">
        <v>30</v>
      </c>
      <c r="B24" s="6"/>
      <c r="C24" s="8">
        <f>SUM(C7:C23)</f>
        <v>350</v>
      </c>
      <c r="D24" s="6"/>
      <c r="E24" s="6"/>
      <c r="F24" s="8">
        <f>SUM(F7:F23)</f>
        <v>11.030000000000001</v>
      </c>
      <c r="G24" s="8">
        <f>SUM(G7:G23)</f>
        <v>8.5399999999999991</v>
      </c>
      <c r="H24" s="8">
        <f>SUM(H7:H23)</f>
        <v>55.25</v>
      </c>
      <c r="I24" s="8">
        <f>SUM(I7:I23)</f>
        <v>343.5</v>
      </c>
      <c r="J24" s="6"/>
      <c r="K24" s="2"/>
      <c r="L24" s="2"/>
      <c r="M24" s="2"/>
    </row>
    <row r="25" spans="1:15" x14ac:dyDescent="0.25">
      <c r="A25" s="4" t="s">
        <v>31</v>
      </c>
      <c r="B25" s="97" t="s">
        <v>297</v>
      </c>
      <c r="C25" s="126">
        <v>120</v>
      </c>
      <c r="D25" s="122">
        <v>136.80000000000001</v>
      </c>
      <c r="E25" s="122">
        <f>C25</f>
        <v>120</v>
      </c>
      <c r="F25" s="126">
        <f>C25*0.44/K25</f>
        <v>0.48</v>
      </c>
      <c r="G25" s="126">
        <f>C25*0.44/K25</f>
        <v>0.48</v>
      </c>
      <c r="H25" s="126">
        <f>C25*10.78/K25</f>
        <v>11.76</v>
      </c>
      <c r="I25" s="126">
        <v>54</v>
      </c>
      <c r="J25" s="3"/>
      <c r="K25" s="2">
        <v>110</v>
      </c>
      <c r="L25" s="2"/>
      <c r="M25" s="2"/>
    </row>
    <row r="26" spans="1:15" ht="47.25" x14ac:dyDescent="0.25">
      <c r="A26" s="9" t="s">
        <v>32</v>
      </c>
      <c r="B26" s="6"/>
      <c r="C26" s="8">
        <f>SUM(C25)</f>
        <v>120</v>
      </c>
      <c r="D26" s="6"/>
      <c r="E26" s="6"/>
      <c r="F26" s="8">
        <f>SUM(F25)</f>
        <v>0.48</v>
      </c>
      <c r="G26" s="8">
        <f>SUM(G25)</f>
        <v>0.48</v>
      </c>
      <c r="H26" s="8">
        <f>SUM(H25)</f>
        <v>11.76</v>
      </c>
      <c r="I26" s="8">
        <f>SUM(I25)</f>
        <v>54</v>
      </c>
      <c r="J26" s="6"/>
      <c r="K26" s="2"/>
      <c r="L26" s="2"/>
      <c r="M26" s="2"/>
    </row>
    <row r="27" spans="1:15" ht="47.25" x14ac:dyDescent="0.25">
      <c r="A27" s="4" t="s">
        <v>33</v>
      </c>
      <c r="B27" s="125" t="s">
        <v>264</v>
      </c>
      <c r="C27" s="126">
        <v>40</v>
      </c>
      <c r="D27" s="66"/>
      <c r="E27" s="66"/>
      <c r="F27" s="46">
        <f>C27*1.55/K27</f>
        <v>1.24</v>
      </c>
      <c r="G27" s="46">
        <f>C27*0.1/K27</f>
        <v>0.08</v>
      </c>
      <c r="H27" s="46">
        <f>C27*3.25/K27</f>
        <v>2.6</v>
      </c>
      <c r="I27" s="46">
        <f>C27*20/K27</f>
        <v>16</v>
      </c>
      <c r="J27" s="46" t="s">
        <v>420</v>
      </c>
      <c r="K27" s="2">
        <v>50</v>
      </c>
      <c r="L27" s="2"/>
      <c r="M27" s="2"/>
    </row>
    <row r="28" spans="1:15" ht="31.5" x14ac:dyDescent="0.25">
      <c r="A28" s="3"/>
      <c r="B28" s="123" t="s">
        <v>265</v>
      </c>
      <c r="C28" s="126"/>
      <c r="D28" s="127">
        <v>67.2</v>
      </c>
      <c r="E28" s="127">
        <v>43.6</v>
      </c>
      <c r="F28" s="46"/>
      <c r="G28" s="46"/>
      <c r="H28" s="46"/>
      <c r="I28" s="46"/>
      <c r="J28" s="46" t="s">
        <v>16</v>
      </c>
      <c r="K28" s="2"/>
      <c r="L28" s="2"/>
      <c r="M28" s="2"/>
    </row>
    <row r="29" spans="1:15" x14ac:dyDescent="0.25">
      <c r="A29" s="11"/>
      <c r="B29" s="316"/>
      <c r="C29" s="137"/>
      <c r="D29" s="317"/>
      <c r="E29" s="317"/>
      <c r="F29" s="10"/>
      <c r="G29" s="10"/>
      <c r="H29" s="10"/>
      <c r="I29" s="10"/>
      <c r="J29" s="11"/>
      <c r="K29" s="2"/>
      <c r="L29" s="2"/>
      <c r="M29" s="2"/>
    </row>
    <row r="30" spans="1:15" x14ac:dyDescent="0.25">
      <c r="A30" s="3"/>
      <c r="B30" s="274" t="s">
        <v>266</v>
      </c>
      <c r="C30" s="236">
        <v>165</v>
      </c>
      <c r="D30" s="318"/>
      <c r="E30" s="319"/>
      <c r="F30" s="238">
        <v>3.84</v>
      </c>
      <c r="G30" s="238">
        <v>5.7</v>
      </c>
      <c r="H30" s="238">
        <v>6.3</v>
      </c>
      <c r="I30" s="238">
        <v>91.08</v>
      </c>
      <c r="J30" s="4" t="s">
        <v>267</v>
      </c>
      <c r="K30" s="2">
        <v>200</v>
      </c>
      <c r="L30" s="2"/>
      <c r="M30" s="2"/>
    </row>
    <row r="31" spans="1:15" x14ac:dyDescent="0.25">
      <c r="A31" s="3"/>
      <c r="B31" s="239" t="s">
        <v>156</v>
      </c>
      <c r="C31" s="240"/>
      <c r="D31" s="76">
        <v>16.600000000000001</v>
      </c>
      <c r="E31" s="83">
        <v>16</v>
      </c>
      <c r="F31" s="241"/>
      <c r="G31" s="241"/>
      <c r="H31" s="241"/>
      <c r="I31" s="241"/>
      <c r="J31" s="4" t="s">
        <v>16</v>
      </c>
      <c r="K31" s="2"/>
      <c r="L31" s="2"/>
      <c r="M31" s="2"/>
    </row>
    <row r="32" spans="1:15" x14ac:dyDescent="0.25">
      <c r="A32" s="3"/>
      <c r="B32" s="239" t="s">
        <v>27</v>
      </c>
      <c r="C32" s="240"/>
      <c r="D32" s="76">
        <v>167</v>
      </c>
      <c r="E32" s="76">
        <v>167</v>
      </c>
      <c r="F32" s="242"/>
      <c r="G32" s="242"/>
      <c r="H32" s="242"/>
      <c r="I32" s="242"/>
      <c r="J32" s="3"/>
      <c r="K32" s="2"/>
      <c r="L32" s="2"/>
      <c r="M32" s="2"/>
    </row>
    <row r="33" spans="1:13" ht="16.5" customHeight="1" x14ac:dyDescent="0.25">
      <c r="A33" s="3"/>
      <c r="B33" s="242" t="s">
        <v>44</v>
      </c>
      <c r="D33" s="76"/>
      <c r="E33" s="76">
        <v>10</v>
      </c>
      <c r="F33" s="242"/>
      <c r="G33" s="242"/>
      <c r="H33" s="242"/>
      <c r="I33" s="242"/>
      <c r="J33" s="3"/>
      <c r="K33" s="2">
        <v>12</v>
      </c>
      <c r="L33" s="2"/>
      <c r="M33" s="2"/>
    </row>
    <row r="34" spans="1:13" ht="31.5" x14ac:dyDescent="0.25">
      <c r="A34" s="3"/>
      <c r="B34" s="276" t="s">
        <v>45</v>
      </c>
      <c r="C34" s="236">
        <v>150</v>
      </c>
      <c r="D34" s="320"/>
      <c r="E34" s="320">
        <v>120</v>
      </c>
      <c r="F34" s="242"/>
      <c r="G34" s="242"/>
      <c r="H34" s="242"/>
      <c r="I34" s="242"/>
      <c r="J34" s="3"/>
      <c r="K34" s="2"/>
      <c r="L34" s="2"/>
      <c r="M34" s="2"/>
    </row>
    <row r="35" spans="1:13" x14ac:dyDescent="0.25">
      <c r="A35" s="3"/>
      <c r="B35" s="245" t="s">
        <v>199</v>
      </c>
      <c r="D35" s="244">
        <v>48</v>
      </c>
      <c r="E35" s="244">
        <v>38.5</v>
      </c>
      <c r="F35" s="240"/>
      <c r="G35" s="240"/>
      <c r="H35" s="240"/>
      <c r="I35" s="240"/>
      <c r="J35" s="3"/>
      <c r="K35" s="2">
        <v>182</v>
      </c>
      <c r="L35" s="2"/>
      <c r="M35" s="2"/>
    </row>
    <row r="36" spans="1:13" x14ac:dyDescent="0.25">
      <c r="A36" s="3"/>
      <c r="B36" s="245" t="s">
        <v>47</v>
      </c>
      <c r="C36" s="236"/>
      <c r="D36" s="244">
        <v>34.5</v>
      </c>
      <c r="E36" s="244">
        <v>25.9</v>
      </c>
      <c r="F36" s="240"/>
      <c r="G36" s="240"/>
      <c r="H36" s="240"/>
      <c r="I36" s="240"/>
      <c r="J36" s="3"/>
      <c r="K36" s="2"/>
      <c r="L36" s="2"/>
      <c r="M36" s="2"/>
    </row>
    <row r="37" spans="1:13" x14ac:dyDescent="0.25">
      <c r="A37" s="3"/>
      <c r="B37" s="245" t="s">
        <v>48</v>
      </c>
      <c r="C37" s="236"/>
      <c r="D37" s="244">
        <v>7.5</v>
      </c>
      <c r="E37" s="244">
        <v>6</v>
      </c>
      <c r="F37" s="240"/>
      <c r="G37" s="240"/>
      <c r="H37" s="240"/>
      <c r="I37" s="240"/>
      <c r="J37" s="3"/>
      <c r="K37" s="2"/>
      <c r="L37" s="2"/>
      <c r="M37" s="2"/>
    </row>
    <row r="38" spans="1:13" x14ac:dyDescent="0.25">
      <c r="A38" s="3"/>
      <c r="B38" s="245" t="s">
        <v>49</v>
      </c>
      <c r="C38" s="236"/>
      <c r="D38" s="244">
        <v>8.1</v>
      </c>
      <c r="E38" s="244">
        <v>6.75</v>
      </c>
      <c r="F38" s="240"/>
      <c r="G38" s="240"/>
      <c r="H38" s="240"/>
      <c r="I38" s="240"/>
      <c r="J38" s="3"/>
      <c r="K38" s="2"/>
      <c r="L38" s="2"/>
      <c r="M38" s="2"/>
    </row>
    <row r="39" spans="1:13" x14ac:dyDescent="0.25">
      <c r="A39" s="3"/>
      <c r="B39" s="245" t="s">
        <v>50</v>
      </c>
      <c r="C39" s="236"/>
      <c r="D39" s="244">
        <f>$C$34*3.63636363636364/$K$35</f>
        <v>2.9970029970029999</v>
      </c>
      <c r="E39" s="244">
        <f>$C$34*3.63636363636364/$K$35</f>
        <v>2.9970029970029999</v>
      </c>
      <c r="F39" s="240"/>
      <c r="G39" s="240"/>
      <c r="H39" s="240"/>
      <c r="I39" s="240"/>
      <c r="J39" s="3"/>
      <c r="K39" s="2"/>
      <c r="L39" s="2"/>
      <c r="M39" s="2"/>
    </row>
    <row r="40" spans="1:13" x14ac:dyDescent="0.25">
      <c r="A40" s="3"/>
      <c r="B40" s="245" t="s">
        <v>55</v>
      </c>
      <c r="C40" s="236"/>
      <c r="D40" s="244">
        <f>$C$34*0.96969696969697/$K$35</f>
        <v>0.79920079920079945</v>
      </c>
      <c r="E40" s="244">
        <f>$C$34*0.96969696969697/$K$35</f>
        <v>0.79920079920079945</v>
      </c>
      <c r="F40" s="240"/>
      <c r="G40" s="240"/>
      <c r="H40" s="240"/>
      <c r="I40" s="240"/>
      <c r="J40" s="3"/>
      <c r="K40" s="2"/>
      <c r="L40" s="2"/>
      <c r="M40" s="2"/>
    </row>
    <row r="41" spans="1:13" x14ac:dyDescent="0.25">
      <c r="A41" s="3"/>
      <c r="B41" s="245" t="s">
        <v>19</v>
      </c>
      <c r="C41" s="236"/>
      <c r="D41" s="244">
        <f>$C$34*1.18787878787879/$K$35</f>
        <v>0.97902097902098073</v>
      </c>
      <c r="E41" s="244">
        <f>$C$34*1.18787878787879/$K$35</f>
        <v>0.97902097902098073</v>
      </c>
      <c r="F41" s="240"/>
      <c r="G41" s="240"/>
      <c r="H41" s="240"/>
      <c r="I41" s="240"/>
      <c r="J41" s="3"/>
      <c r="K41" s="2"/>
      <c r="L41" s="2"/>
      <c r="M41" s="2"/>
    </row>
    <row r="42" spans="1:13" x14ac:dyDescent="0.25">
      <c r="A42" s="3"/>
      <c r="B42" s="245" t="s">
        <v>51</v>
      </c>
      <c r="C42" s="236"/>
      <c r="D42" s="244">
        <f>$C$34*1.35/$K$35</f>
        <v>1.1126373626373627</v>
      </c>
      <c r="E42" s="244">
        <f>$C$34*1/$K$35</f>
        <v>0.82417582417582413</v>
      </c>
      <c r="F42" s="240"/>
      <c r="G42" s="240"/>
      <c r="H42" s="240"/>
      <c r="I42" s="240"/>
      <c r="J42" s="3"/>
      <c r="K42" s="2"/>
      <c r="L42" s="2"/>
      <c r="M42" s="2"/>
    </row>
    <row r="43" spans="1:13" x14ac:dyDescent="0.25">
      <c r="A43" s="3"/>
      <c r="B43" s="245" t="s">
        <v>20</v>
      </c>
      <c r="C43" s="240"/>
      <c r="D43" s="244">
        <v>0.5</v>
      </c>
      <c r="E43" s="244">
        <v>0.5</v>
      </c>
      <c r="F43" s="240"/>
      <c r="G43" s="240"/>
      <c r="H43" s="240"/>
      <c r="I43" s="240"/>
      <c r="J43" s="3"/>
      <c r="K43" s="2"/>
      <c r="L43" s="2"/>
      <c r="M43" s="2"/>
    </row>
    <row r="44" spans="1:13" x14ac:dyDescent="0.25">
      <c r="A44" s="3"/>
      <c r="B44" s="245" t="s">
        <v>160</v>
      </c>
      <c r="C44" s="240"/>
      <c r="D44" s="321">
        <v>5</v>
      </c>
      <c r="E44" s="321">
        <v>5</v>
      </c>
      <c r="F44" s="240"/>
      <c r="G44" s="240"/>
      <c r="H44" s="240"/>
      <c r="I44" s="240"/>
      <c r="J44" s="3"/>
      <c r="K44" s="2"/>
      <c r="L44" s="2"/>
      <c r="M44" s="2"/>
    </row>
    <row r="45" spans="1:13" x14ac:dyDescent="0.25">
      <c r="A45" s="3"/>
      <c r="B45" s="125" t="s">
        <v>268</v>
      </c>
      <c r="C45" s="126">
        <v>60</v>
      </c>
      <c r="D45" s="122"/>
      <c r="E45" s="122"/>
      <c r="F45" s="126">
        <f>C45*6.56/K45</f>
        <v>5.6228571428571428</v>
      </c>
      <c r="G45" s="126">
        <f>C45*6.69/K45</f>
        <v>5.7342857142857149</v>
      </c>
      <c r="H45" s="126">
        <f>C45*4.93/K45</f>
        <v>4.2257142857142851</v>
      </c>
      <c r="I45" s="126">
        <f>C45*106.21/K45</f>
        <v>91.037142857142854</v>
      </c>
      <c r="J45" s="4" t="s">
        <v>271</v>
      </c>
      <c r="K45" s="2">
        <v>70</v>
      </c>
      <c r="L45" s="2"/>
      <c r="M45" s="2"/>
    </row>
    <row r="46" spans="1:13" x14ac:dyDescent="0.25">
      <c r="A46" s="3"/>
      <c r="B46" s="123" t="s">
        <v>465</v>
      </c>
      <c r="C46" s="126"/>
      <c r="D46" s="122">
        <v>26.57</v>
      </c>
      <c r="E46" s="122">
        <f>C45*28/K45</f>
        <v>24</v>
      </c>
      <c r="F46" s="126"/>
      <c r="G46" s="126"/>
      <c r="H46" s="126"/>
      <c r="I46" s="126"/>
      <c r="J46" s="4" t="s">
        <v>16</v>
      </c>
      <c r="K46" s="2"/>
      <c r="L46" s="2"/>
      <c r="M46" s="2"/>
    </row>
    <row r="47" spans="1:13" x14ac:dyDescent="0.25">
      <c r="A47" s="3"/>
      <c r="B47" s="66" t="s">
        <v>270</v>
      </c>
      <c r="C47" s="126"/>
      <c r="D47" s="122">
        <f>$C$45*3.5/$K$45</f>
        <v>3</v>
      </c>
      <c r="E47" s="122">
        <f>$C$45*3.5/$K$45</f>
        <v>3</v>
      </c>
      <c r="F47" s="126"/>
      <c r="G47" s="126"/>
      <c r="H47" s="126"/>
      <c r="I47" s="126"/>
      <c r="J47" s="3"/>
      <c r="K47" s="2"/>
      <c r="L47" s="2"/>
      <c r="M47" s="2"/>
    </row>
    <row r="48" spans="1:13" x14ac:dyDescent="0.25">
      <c r="A48" s="3"/>
      <c r="B48" s="66" t="s">
        <v>205</v>
      </c>
      <c r="C48" s="126"/>
      <c r="D48" s="322">
        <f>$C$45*5/K45</f>
        <v>4.2857142857142856</v>
      </c>
      <c r="E48" s="322">
        <f>C45*4/K45</f>
        <v>3.4285714285714284</v>
      </c>
      <c r="F48" s="126"/>
      <c r="G48" s="126"/>
      <c r="H48" s="126"/>
      <c r="I48" s="126"/>
      <c r="J48" s="3"/>
      <c r="K48" s="2"/>
      <c r="L48" s="2"/>
      <c r="M48" s="2"/>
    </row>
    <row r="49" spans="1:21" ht="31.5" x14ac:dyDescent="0.25">
      <c r="A49" s="3"/>
      <c r="B49" s="123" t="s">
        <v>60</v>
      </c>
      <c r="C49" s="126"/>
      <c r="D49" s="322">
        <f>$C$45*2/$K$45</f>
        <v>1.7142857142857142</v>
      </c>
      <c r="E49" s="322">
        <f>$C$45*2/$K$45</f>
        <v>1.7142857142857142</v>
      </c>
      <c r="F49" s="126"/>
      <c r="G49" s="126"/>
      <c r="H49" s="126"/>
      <c r="I49" s="126"/>
      <c r="J49" s="3"/>
      <c r="K49" s="2"/>
      <c r="L49" s="2"/>
      <c r="M49" s="2"/>
    </row>
    <row r="50" spans="1:21" x14ac:dyDescent="0.25">
      <c r="A50" s="3"/>
      <c r="B50" s="66" t="s">
        <v>59</v>
      </c>
      <c r="C50" s="126"/>
      <c r="D50" s="322">
        <f>$C$45*52/$K$45</f>
        <v>44.571428571428569</v>
      </c>
      <c r="E50" s="322">
        <v>36</v>
      </c>
      <c r="F50" s="126"/>
      <c r="G50" s="126"/>
      <c r="H50" s="126"/>
      <c r="I50" s="126"/>
      <c r="J50" s="3"/>
      <c r="K50" s="2"/>
      <c r="L50" s="2"/>
      <c r="M50" s="2"/>
    </row>
    <row r="51" spans="1:21" x14ac:dyDescent="0.25">
      <c r="A51" s="3"/>
      <c r="B51" s="66" t="s">
        <v>20</v>
      </c>
      <c r="C51" s="126"/>
      <c r="D51" s="122">
        <v>0.3</v>
      </c>
      <c r="E51" s="122">
        <v>0.3</v>
      </c>
      <c r="F51" s="126"/>
      <c r="G51" s="126"/>
      <c r="H51" s="126"/>
      <c r="I51" s="126"/>
      <c r="J51" s="3"/>
      <c r="K51" s="2"/>
      <c r="L51" s="2"/>
      <c r="M51" s="2"/>
    </row>
    <row r="52" spans="1:21" x14ac:dyDescent="0.25">
      <c r="A52" s="3"/>
      <c r="B52" s="213" t="s">
        <v>164</v>
      </c>
      <c r="C52" s="149">
        <v>20</v>
      </c>
      <c r="D52" s="153"/>
      <c r="E52" s="153"/>
      <c r="F52" s="129">
        <v>0.1</v>
      </c>
      <c r="G52" s="129">
        <v>0.73</v>
      </c>
      <c r="H52" s="129">
        <v>1.04</v>
      </c>
      <c r="I52" s="129">
        <v>11.23</v>
      </c>
      <c r="J52" s="166" t="s">
        <v>183</v>
      </c>
      <c r="K52" s="2"/>
      <c r="L52" s="2"/>
      <c r="M52" s="214"/>
      <c r="N52" s="323"/>
      <c r="O52" s="324"/>
      <c r="P52" s="324"/>
      <c r="Q52" s="138"/>
      <c r="R52" s="138"/>
      <c r="S52" s="138"/>
      <c r="T52" s="138"/>
      <c r="U52" s="158"/>
    </row>
    <row r="53" spans="1:21" x14ac:dyDescent="0.25">
      <c r="A53" s="3"/>
      <c r="B53" s="134" t="s">
        <v>55</v>
      </c>
      <c r="C53" s="149"/>
      <c r="D53" s="153">
        <v>1.2</v>
      </c>
      <c r="E53" s="153">
        <v>1.2</v>
      </c>
      <c r="F53" s="130"/>
      <c r="G53" s="130"/>
      <c r="H53" s="130"/>
      <c r="I53" s="130"/>
      <c r="J53" s="4" t="s">
        <v>16</v>
      </c>
      <c r="K53" s="2"/>
      <c r="L53" s="2"/>
      <c r="M53" s="325"/>
      <c r="N53" s="324"/>
      <c r="O53" s="324"/>
      <c r="P53" s="324"/>
      <c r="Q53" s="326"/>
      <c r="R53" s="326"/>
      <c r="S53" s="326"/>
      <c r="T53" s="326"/>
      <c r="U53" s="94"/>
    </row>
    <row r="54" spans="1:21" x14ac:dyDescent="0.25">
      <c r="A54" s="3"/>
      <c r="B54" s="134" t="s">
        <v>56</v>
      </c>
      <c r="C54" s="154"/>
      <c r="D54" s="153">
        <v>1</v>
      </c>
      <c r="E54" s="153">
        <v>1</v>
      </c>
      <c r="F54" s="3"/>
      <c r="G54" s="3"/>
      <c r="H54" s="3"/>
      <c r="I54" s="3"/>
      <c r="J54" s="327"/>
      <c r="K54" s="2"/>
      <c r="L54" s="2"/>
      <c r="M54" s="325"/>
      <c r="N54" s="324"/>
      <c r="O54" s="324"/>
      <c r="P54" s="324"/>
      <c r="Q54" s="326"/>
      <c r="R54" s="326"/>
      <c r="S54" s="326"/>
      <c r="T54" s="326"/>
      <c r="U54" s="158"/>
    </row>
    <row r="55" spans="1:21" x14ac:dyDescent="0.25">
      <c r="A55" s="3"/>
      <c r="B55" s="134" t="s">
        <v>22</v>
      </c>
      <c r="C55" s="154"/>
      <c r="D55" s="153">
        <v>1</v>
      </c>
      <c r="E55" s="153">
        <v>1</v>
      </c>
      <c r="F55" s="3"/>
      <c r="G55" s="3"/>
      <c r="H55" s="3"/>
      <c r="I55" s="3"/>
      <c r="J55" s="3"/>
      <c r="K55" s="2"/>
      <c r="L55" s="2"/>
      <c r="M55" s="325"/>
      <c r="N55" s="324"/>
      <c r="O55" s="324"/>
      <c r="P55" s="324"/>
      <c r="Q55" s="326"/>
      <c r="R55" s="326"/>
      <c r="S55" s="326"/>
      <c r="T55" s="326"/>
      <c r="U55" s="158"/>
    </row>
    <row r="56" spans="1:21" x14ac:dyDescent="0.25">
      <c r="A56" s="3"/>
      <c r="B56" s="134" t="s">
        <v>19</v>
      </c>
      <c r="C56" s="154"/>
      <c r="D56" s="153">
        <v>0.36</v>
      </c>
      <c r="E56" s="153">
        <v>0.36</v>
      </c>
      <c r="F56" s="3"/>
      <c r="G56" s="3"/>
      <c r="H56" s="3"/>
      <c r="I56" s="3"/>
      <c r="J56" s="3"/>
      <c r="K56" s="2"/>
      <c r="L56" s="2"/>
      <c r="M56" s="325"/>
      <c r="N56" s="324"/>
      <c r="O56" s="324"/>
      <c r="P56" s="324"/>
      <c r="Q56" s="326"/>
      <c r="R56" s="326"/>
      <c r="S56" s="326"/>
      <c r="T56" s="326"/>
      <c r="U56" s="158"/>
    </row>
    <row r="57" spans="1:21" x14ac:dyDescent="0.25">
      <c r="A57" s="3"/>
      <c r="B57" s="134" t="s">
        <v>20</v>
      </c>
      <c r="C57" s="154"/>
      <c r="D57" s="153">
        <v>0.2</v>
      </c>
      <c r="E57" s="153">
        <v>0.2</v>
      </c>
      <c r="F57" s="3"/>
      <c r="G57" s="3"/>
      <c r="H57" s="3"/>
      <c r="I57" s="3"/>
      <c r="J57" s="3"/>
      <c r="K57" s="2"/>
      <c r="L57" s="2"/>
      <c r="M57" s="325"/>
      <c r="N57" s="324"/>
      <c r="O57" s="324"/>
      <c r="P57" s="324"/>
      <c r="Q57" s="326"/>
      <c r="R57" s="326"/>
      <c r="S57" s="326"/>
      <c r="T57" s="326"/>
      <c r="U57" s="158"/>
    </row>
    <row r="58" spans="1:21" ht="31.5" x14ac:dyDescent="0.25">
      <c r="A58" s="3"/>
      <c r="B58" s="125" t="s">
        <v>272</v>
      </c>
      <c r="C58" s="129">
        <v>110</v>
      </c>
      <c r="D58" s="3"/>
      <c r="E58" s="3"/>
      <c r="F58" s="4">
        <f>C58*8.44/K58</f>
        <v>6.4027586206896547</v>
      </c>
      <c r="G58" s="4">
        <f>C58*5.25/K58</f>
        <v>3.9827586206896552</v>
      </c>
      <c r="H58" s="4">
        <f>C58*43.5/K58</f>
        <v>33</v>
      </c>
      <c r="I58" s="4">
        <f>C58*255.01/K58</f>
        <v>193.4558620689655</v>
      </c>
      <c r="J58" s="4" t="s">
        <v>275</v>
      </c>
      <c r="K58" s="2">
        <v>145</v>
      </c>
      <c r="L58" s="2"/>
      <c r="M58" s="325"/>
      <c r="N58" s="324"/>
      <c r="O58" s="324"/>
      <c r="P58" s="324"/>
      <c r="Q58" s="326"/>
      <c r="R58" s="326"/>
      <c r="S58" s="326"/>
      <c r="T58" s="326"/>
      <c r="U58" s="158"/>
    </row>
    <row r="59" spans="1:21" x14ac:dyDescent="0.25">
      <c r="A59" s="3"/>
      <c r="B59" s="66" t="s">
        <v>273</v>
      </c>
      <c r="C59" s="130"/>
      <c r="D59" s="144">
        <f>$C$58*66.7/$K$58</f>
        <v>50.6</v>
      </c>
      <c r="E59" s="144">
        <f>$C$58*66.7/$K$58</f>
        <v>50.6</v>
      </c>
      <c r="F59" s="4"/>
      <c r="G59" s="4"/>
      <c r="H59" s="4"/>
      <c r="I59" s="4"/>
      <c r="J59" s="4" t="s">
        <v>16</v>
      </c>
      <c r="K59" s="2"/>
      <c r="L59" s="2"/>
      <c r="M59" s="2"/>
    </row>
    <row r="60" spans="1:21" x14ac:dyDescent="0.25">
      <c r="A60" s="3"/>
      <c r="B60" s="66" t="s">
        <v>27</v>
      </c>
      <c r="C60" s="130"/>
      <c r="D60" s="328">
        <f>$C$58*99/$K$58</f>
        <v>75.103448275862064</v>
      </c>
      <c r="E60" s="328">
        <f>$C$58*99/$K$58</f>
        <v>75.103448275862064</v>
      </c>
      <c r="F60" s="4"/>
      <c r="G60" s="4"/>
      <c r="H60" s="4"/>
      <c r="I60" s="4"/>
      <c r="J60" s="3"/>
      <c r="K60" s="2"/>
      <c r="L60" s="2"/>
      <c r="M60" s="2"/>
    </row>
    <row r="61" spans="1:21" x14ac:dyDescent="0.25">
      <c r="A61" s="3"/>
      <c r="B61" s="66" t="s">
        <v>20</v>
      </c>
      <c r="C61" s="130"/>
      <c r="D61" s="328">
        <v>0.3</v>
      </c>
      <c r="E61" s="328">
        <v>0.3</v>
      </c>
      <c r="F61" s="4"/>
      <c r="G61" s="4"/>
      <c r="H61" s="4"/>
      <c r="I61" s="4"/>
      <c r="J61" s="3"/>
      <c r="K61" s="2"/>
      <c r="L61" s="2"/>
      <c r="M61" s="2"/>
    </row>
    <row r="62" spans="1:21" x14ac:dyDescent="0.25">
      <c r="A62" s="3"/>
      <c r="B62" s="66" t="s">
        <v>274</v>
      </c>
      <c r="C62" s="130"/>
      <c r="D62" s="328" t="s">
        <v>173</v>
      </c>
      <c r="E62" s="328">
        <f>C58*139/K58</f>
        <v>105.44827586206897</v>
      </c>
      <c r="F62" s="4"/>
      <c r="G62" s="4"/>
      <c r="H62" s="4"/>
      <c r="I62" s="4"/>
      <c r="J62" s="3"/>
      <c r="K62" s="2"/>
      <c r="L62" s="2"/>
      <c r="M62" s="2"/>
    </row>
    <row r="63" spans="1:21" x14ac:dyDescent="0.25">
      <c r="A63" s="3"/>
      <c r="B63" s="66" t="s">
        <v>22</v>
      </c>
      <c r="C63" s="130"/>
      <c r="D63" s="328">
        <f>$C$58*6.5/$K$58</f>
        <v>4.931034482758621</v>
      </c>
      <c r="E63" s="328">
        <f>$C$58*6.5/$K$58</f>
        <v>4.931034482758621</v>
      </c>
      <c r="F63" s="4"/>
      <c r="G63" s="4"/>
      <c r="H63" s="4"/>
      <c r="I63" s="4"/>
      <c r="J63" s="3"/>
      <c r="K63" s="2"/>
      <c r="L63" s="2"/>
      <c r="M63" s="2"/>
    </row>
    <row r="64" spans="1:21" x14ac:dyDescent="0.25">
      <c r="A64" s="66"/>
      <c r="B64" s="97" t="s">
        <v>407</v>
      </c>
      <c r="C64" s="126">
        <v>150</v>
      </c>
      <c r="D64" s="127">
        <v>150</v>
      </c>
      <c r="E64" s="127">
        <v>150</v>
      </c>
      <c r="F64" s="126">
        <v>0</v>
      </c>
      <c r="G64" s="126">
        <v>0</v>
      </c>
      <c r="H64" s="126">
        <v>17.25</v>
      </c>
      <c r="I64" s="126">
        <v>69</v>
      </c>
      <c r="J64" s="66"/>
      <c r="K64" s="2"/>
      <c r="L64" s="2"/>
      <c r="M64" s="2"/>
    </row>
    <row r="65" spans="1:21" x14ac:dyDescent="0.25">
      <c r="A65" s="3"/>
      <c r="B65" s="97" t="s">
        <v>28</v>
      </c>
      <c r="C65" s="129">
        <v>20</v>
      </c>
      <c r="D65" s="130">
        <f>C65</f>
        <v>20</v>
      </c>
      <c r="E65" s="130">
        <f>C65</f>
        <v>20</v>
      </c>
      <c r="F65" s="126">
        <f>C65*1.52/20</f>
        <v>1.52</v>
      </c>
      <c r="G65" s="126">
        <f>C65*0.18/K65</f>
        <v>0.18</v>
      </c>
      <c r="H65" s="126">
        <f>C65*9.34/K65</f>
        <v>9.34</v>
      </c>
      <c r="I65" s="126">
        <f>C65*46.2/K65</f>
        <v>46.2</v>
      </c>
      <c r="J65" s="3"/>
      <c r="K65" s="72">
        <v>20</v>
      </c>
      <c r="L65" s="2"/>
      <c r="M65" s="2"/>
    </row>
    <row r="66" spans="1:21" x14ac:dyDescent="0.25">
      <c r="A66" s="3"/>
      <c r="B66" s="125" t="s">
        <v>84</v>
      </c>
      <c r="C66" s="129">
        <v>10</v>
      </c>
      <c r="D66" s="130">
        <f>C66</f>
        <v>10</v>
      </c>
      <c r="E66" s="130">
        <f>C66</f>
        <v>10</v>
      </c>
      <c r="F66" s="129">
        <f>C66*1.54/K66</f>
        <v>0.77</v>
      </c>
      <c r="G66" s="129">
        <f>C66*0.28/K66</f>
        <v>0.14000000000000001</v>
      </c>
      <c r="H66" s="129">
        <f>C66*7.52/K66</f>
        <v>3.7599999999999993</v>
      </c>
      <c r="I66" s="129">
        <f>C66*40.2/K66</f>
        <v>20.100000000000001</v>
      </c>
      <c r="J66" s="3"/>
      <c r="K66" s="72">
        <v>20</v>
      </c>
      <c r="L66" s="2"/>
      <c r="M66" s="2"/>
    </row>
    <row r="67" spans="1:21" x14ac:dyDescent="0.25">
      <c r="A67" s="5" t="s">
        <v>69</v>
      </c>
      <c r="B67" s="6"/>
      <c r="C67" s="8">
        <f>SUM(C27:C66)</f>
        <v>725</v>
      </c>
      <c r="D67" s="6"/>
      <c r="E67" s="6"/>
      <c r="F67" s="225">
        <f>SUM(F27:F66)</f>
        <v>19.495615763546795</v>
      </c>
      <c r="G67" s="225">
        <f>SUM(G27:G66)</f>
        <v>16.547044334975372</v>
      </c>
      <c r="H67" s="225">
        <f>SUM(H27:H66)</f>
        <v>77.515714285714296</v>
      </c>
      <c r="I67" s="225">
        <f>SUM(I27:I66)</f>
        <v>538.10300492610838</v>
      </c>
      <c r="J67" s="6"/>
      <c r="K67" s="2"/>
      <c r="L67" s="2"/>
      <c r="M67" s="2"/>
    </row>
    <row r="68" spans="1:21" ht="31.5" x14ac:dyDescent="0.25">
      <c r="A68" s="166" t="s">
        <v>70</v>
      </c>
      <c r="B68" s="15" t="s">
        <v>431</v>
      </c>
      <c r="C68" s="4">
        <v>30</v>
      </c>
      <c r="D68" s="232">
        <v>30</v>
      </c>
      <c r="E68" s="232">
        <v>30</v>
      </c>
      <c r="F68" s="105">
        <v>0.87</v>
      </c>
      <c r="G68" s="105">
        <v>0.98</v>
      </c>
      <c r="H68" s="105">
        <v>23.23</v>
      </c>
      <c r="I68" s="105">
        <v>106.22</v>
      </c>
      <c r="J68" s="4"/>
      <c r="K68" s="2">
        <v>50</v>
      </c>
      <c r="L68" s="2"/>
      <c r="M68" s="329"/>
      <c r="N68" s="103"/>
      <c r="O68" s="330"/>
      <c r="P68" s="330"/>
      <c r="Q68" s="331"/>
      <c r="R68" s="331"/>
      <c r="S68" s="331"/>
      <c r="T68" s="331"/>
      <c r="U68" s="103"/>
    </row>
    <row r="69" spans="1:21" x14ac:dyDescent="0.25">
      <c r="A69" s="3"/>
      <c r="B69" s="332" t="s">
        <v>151</v>
      </c>
      <c r="C69" s="129">
        <v>180</v>
      </c>
      <c r="D69" s="76"/>
      <c r="E69" s="76"/>
      <c r="F69" s="126">
        <v>5.0199999999999996</v>
      </c>
      <c r="G69" s="126">
        <v>5.7420000000000009</v>
      </c>
      <c r="H69" s="126">
        <v>8.4420000000000002</v>
      </c>
      <c r="I69" s="126">
        <v>105.57899999999999</v>
      </c>
      <c r="J69" s="4" t="s">
        <v>276</v>
      </c>
      <c r="K69" s="2"/>
      <c r="L69" s="69"/>
      <c r="M69" s="70"/>
      <c r="N69" s="70"/>
      <c r="O69" s="280"/>
      <c r="P69" s="280"/>
      <c r="Q69" s="70"/>
      <c r="R69" s="70"/>
      <c r="S69" s="70"/>
      <c r="T69" s="70"/>
      <c r="U69" s="70"/>
    </row>
    <row r="70" spans="1:21" x14ac:dyDescent="0.25">
      <c r="A70" s="3"/>
      <c r="B70" s="134" t="s">
        <v>26</v>
      </c>
      <c r="C70" s="47"/>
      <c r="D70" s="211">
        <v>189</v>
      </c>
      <c r="E70" s="211">
        <v>180</v>
      </c>
      <c r="F70" s="129"/>
      <c r="G70" s="129"/>
      <c r="H70" s="129"/>
      <c r="I70" s="129"/>
      <c r="J70" s="4" t="s">
        <v>16</v>
      </c>
      <c r="K70" s="69"/>
      <c r="L70" s="69"/>
      <c r="M70" s="333"/>
      <c r="N70" s="70"/>
      <c r="O70" s="280"/>
      <c r="P70" s="280"/>
      <c r="Q70" s="70"/>
      <c r="R70" s="70"/>
      <c r="S70" s="70"/>
      <c r="T70" s="70"/>
      <c r="U70" s="70"/>
    </row>
    <row r="71" spans="1:21" x14ac:dyDescent="0.25">
      <c r="A71" s="5" t="s">
        <v>72</v>
      </c>
      <c r="B71" s="6"/>
      <c r="C71" s="8">
        <f>SUM(C68:C69)</f>
        <v>210</v>
      </c>
      <c r="D71" s="6"/>
      <c r="E71" s="6"/>
      <c r="F71" s="225">
        <f>SUM(F68:F69)</f>
        <v>5.89</v>
      </c>
      <c r="G71" s="225">
        <f>SUM(G68:G69)</f>
        <v>6.7220000000000013</v>
      </c>
      <c r="H71" s="225">
        <f>SUM(H68:H69)</f>
        <v>31.672000000000001</v>
      </c>
      <c r="I71" s="225">
        <f>SUM(I68:I69)</f>
        <v>211.79899999999998</v>
      </c>
      <c r="J71" s="6"/>
      <c r="K71" s="2"/>
      <c r="L71" s="2"/>
      <c r="M71" s="70"/>
      <c r="N71" s="70"/>
      <c r="O71" s="280"/>
      <c r="P71" s="280"/>
      <c r="Q71" s="70"/>
      <c r="R71" s="70"/>
      <c r="S71" s="70"/>
      <c r="T71" s="70"/>
      <c r="U71" s="70"/>
    </row>
    <row r="72" spans="1:21" x14ac:dyDescent="0.25">
      <c r="A72" s="166" t="s">
        <v>73</v>
      </c>
      <c r="B72" s="45" t="s">
        <v>284</v>
      </c>
      <c r="C72" s="149">
        <v>60</v>
      </c>
      <c r="D72" s="150"/>
      <c r="E72" s="150"/>
      <c r="F72" s="126">
        <v>7.66</v>
      </c>
      <c r="G72" s="126">
        <f>C72*5.48/K72</f>
        <v>4.6971428571428575</v>
      </c>
      <c r="H72" s="126">
        <v>7.84</v>
      </c>
      <c r="I72" s="126">
        <v>103.26</v>
      </c>
      <c r="J72" s="166" t="s">
        <v>285</v>
      </c>
      <c r="K72" s="2">
        <v>70</v>
      </c>
      <c r="L72" s="2"/>
      <c r="M72" s="70"/>
      <c r="N72" s="334"/>
      <c r="O72" s="334"/>
      <c r="P72" s="334"/>
      <c r="Q72" s="334"/>
      <c r="R72" s="334"/>
      <c r="S72" s="334"/>
      <c r="T72" s="334"/>
      <c r="U72" s="334"/>
    </row>
    <row r="73" spans="1:21" x14ac:dyDescent="0.25">
      <c r="A73" s="166"/>
      <c r="B73" s="206" t="s">
        <v>286</v>
      </c>
      <c r="C73" s="154"/>
      <c r="D73" s="249">
        <f>C72*63/K72</f>
        <v>54</v>
      </c>
      <c r="E73" s="335">
        <v>39</v>
      </c>
      <c r="F73" s="126"/>
      <c r="G73" s="126"/>
      <c r="H73" s="126"/>
      <c r="I73" s="126"/>
      <c r="J73" s="4" t="s">
        <v>16</v>
      </c>
      <c r="K73" s="2"/>
      <c r="L73" s="2"/>
      <c r="M73" s="2"/>
    </row>
    <row r="74" spans="1:21" x14ac:dyDescent="0.25">
      <c r="A74" s="166"/>
      <c r="B74" s="134" t="s">
        <v>178</v>
      </c>
      <c r="C74" s="154"/>
      <c r="D74" s="249">
        <f>$C$72*9.3/$K$72</f>
        <v>7.9714285714285715</v>
      </c>
      <c r="E74" s="249">
        <f>$C$72*9.3/$K$72</f>
        <v>7.9714285714285715</v>
      </c>
      <c r="F74" s="126"/>
      <c r="G74" s="126"/>
      <c r="H74" s="126"/>
      <c r="I74" s="126"/>
      <c r="J74" s="166"/>
      <c r="K74" s="2"/>
      <c r="L74" s="2"/>
      <c r="M74" s="2"/>
    </row>
    <row r="75" spans="1:21" x14ac:dyDescent="0.25">
      <c r="A75" s="166"/>
      <c r="B75" s="134" t="s">
        <v>188</v>
      </c>
      <c r="C75" s="154"/>
      <c r="D75" s="154">
        <f>$C$72*14/$K$72</f>
        <v>12</v>
      </c>
      <c r="E75" s="154">
        <f>$C$72*14/$K$72</f>
        <v>12</v>
      </c>
      <c r="F75" s="126"/>
      <c r="G75" s="126"/>
      <c r="H75" s="126"/>
      <c r="I75" s="126"/>
      <c r="J75" s="166"/>
      <c r="K75" s="2"/>
      <c r="L75" s="2"/>
      <c r="M75" s="2"/>
    </row>
    <row r="76" spans="1:21" x14ac:dyDescent="0.25">
      <c r="A76" s="166"/>
      <c r="B76" s="134" t="s">
        <v>179</v>
      </c>
      <c r="C76" s="154"/>
      <c r="D76" s="249">
        <f>C72*11/K72</f>
        <v>9.4285714285714288</v>
      </c>
      <c r="E76" s="249">
        <f>C72*9.3/K72</f>
        <v>7.9714285714285715</v>
      </c>
      <c r="F76" s="126"/>
      <c r="G76" s="126"/>
      <c r="H76" s="126"/>
      <c r="I76" s="126"/>
      <c r="J76" s="166"/>
      <c r="K76" s="2"/>
      <c r="L76" s="2"/>
      <c r="M76" s="2"/>
    </row>
    <row r="77" spans="1:21" x14ac:dyDescent="0.25">
      <c r="A77" s="166"/>
      <c r="B77" s="134" t="s">
        <v>78</v>
      </c>
      <c r="C77" s="154"/>
      <c r="D77" s="154" t="s">
        <v>378</v>
      </c>
      <c r="E77" s="249">
        <f>C72*4/K72</f>
        <v>3.4285714285714284</v>
      </c>
      <c r="F77" s="126"/>
      <c r="G77" s="126"/>
      <c r="H77" s="126"/>
      <c r="I77" s="126"/>
      <c r="J77" s="166"/>
      <c r="K77" s="2"/>
      <c r="L77" s="2"/>
      <c r="M77" s="2"/>
    </row>
    <row r="78" spans="1:21" x14ac:dyDescent="0.25">
      <c r="A78" s="166"/>
      <c r="B78" s="66" t="s">
        <v>263</v>
      </c>
      <c r="C78" s="126"/>
      <c r="D78" s="122">
        <f>C72*5.6/$K$72</f>
        <v>4.8</v>
      </c>
      <c r="E78" s="122">
        <f>C72*5.6/$K$72</f>
        <v>4.8</v>
      </c>
      <c r="F78" s="126"/>
      <c r="G78" s="126"/>
      <c r="H78" s="126"/>
      <c r="I78" s="126"/>
      <c r="J78" s="166"/>
      <c r="K78" s="2"/>
      <c r="L78" s="2"/>
      <c r="M78" s="2"/>
    </row>
    <row r="79" spans="1:21" x14ac:dyDescent="0.25">
      <c r="A79" s="166"/>
      <c r="B79" s="66" t="s">
        <v>20</v>
      </c>
      <c r="C79" s="126"/>
      <c r="D79" s="122">
        <v>0.3</v>
      </c>
      <c r="E79" s="122">
        <v>0.3</v>
      </c>
      <c r="F79" s="126"/>
      <c r="G79" s="126"/>
      <c r="H79" s="126"/>
      <c r="I79" s="126"/>
      <c r="J79" s="166"/>
      <c r="K79" s="2"/>
      <c r="L79" s="2"/>
      <c r="M79" s="2"/>
    </row>
    <row r="80" spans="1:21" x14ac:dyDescent="0.25">
      <c r="A80" s="166"/>
      <c r="B80" s="66" t="s">
        <v>287</v>
      </c>
      <c r="C80" s="126"/>
      <c r="D80" s="322">
        <f>$C$72*5/$K$72</f>
        <v>4.2857142857142856</v>
      </c>
      <c r="E80" s="322">
        <f>$C$72*5/$K$72</f>
        <v>4.2857142857142856</v>
      </c>
      <c r="F80" s="126"/>
      <c r="G80" s="126"/>
      <c r="H80" s="126"/>
      <c r="I80" s="126"/>
      <c r="J80" s="166"/>
      <c r="K80" s="2"/>
      <c r="L80" s="2"/>
      <c r="M80" s="2"/>
    </row>
    <row r="81" spans="1:14" x14ac:dyDescent="0.25">
      <c r="A81" s="166"/>
      <c r="B81" s="213" t="s">
        <v>291</v>
      </c>
      <c r="C81" s="149">
        <v>20</v>
      </c>
      <c r="D81" s="154"/>
      <c r="E81" s="154"/>
      <c r="F81" s="129">
        <v>0.67</v>
      </c>
      <c r="G81" s="129">
        <v>1.37</v>
      </c>
      <c r="H81" s="129">
        <v>1.84</v>
      </c>
      <c r="I81" s="129">
        <v>22.46</v>
      </c>
      <c r="J81" s="166" t="s">
        <v>292</v>
      </c>
      <c r="K81" s="2"/>
      <c r="L81" s="2"/>
      <c r="M81" s="2"/>
    </row>
    <row r="82" spans="1:14" x14ac:dyDescent="0.25">
      <c r="A82" s="166"/>
      <c r="B82" s="134" t="s">
        <v>26</v>
      </c>
      <c r="C82" s="149"/>
      <c r="D82" s="154">
        <v>20</v>
      </c>
      <c r="E82" s="154">
        <v>20</v>
      </c>
      <c r="F82" s="129"/>
      <c r="G82" s="129"/>
      <c r="H82" s="129"/>
      <c r="I82" s="129"/>
      <c r="J82" s="166"/>
      <c r="K82" s="2"/>
      <c r="L82" s="2"/>
      <c r="M82" s="2"/>
    </row>
    <row r="83" spans="1:14" x14ac:dyDescent="0.25">
      <c r="A83" s="166"/>
      <c r="B83" s="134" t="s">
        <v>56</v>
      </c>
      <c r="C83" s="154"/>
      <c r="D83" s="154">
        <v>1</v>
      </c>
      <c r="E83" s="154">
        <v>1</v>
      </c>
      <c r="F83" s="130"/>
      <c r="G83" s="130"/>
      <c r="H83" s="130"/>
      <c r="I83" s="130"/>
      <c r="J83" s="4" t="s">
        <v>16</v>
      </c>
      <c r="K83" s="2"/>
      <c r="L83" s="2"/>
      <c r="M83" s="2"/>
    </row>
    <row r="84" spans="1:14" x14ac:dyDescent="0.25">
      <c r="A84" s="166"/>
      <c r="B84" s="134" t="s">
        <v>22</v>
      </c>
      <c r="C84" s="154"/>
      <c r="D84" s="154">
        <v>1</v>
      </c>
      <c r="E84" s="154">
        <v>1</v>
      </c>
      <c r="F84" s="130"/>
      <c r="G84" s="130"/>
      <c r="H84" s="130"/>
      <c r="I84" s="130"/>
      <c r="J84" s="166"/>
      <c r="K84" s="2"/>
      <c r="L84" s="2"/>
      <c r="M84" s="2"/>
    </row>
    <row r="85" spans="1:14" x14ac:dyDescent="0.25">
      <c r="A85" s="166"/>
      <c r="B85" s="134" t="s">
        <v>19</v>
      </c>
      <c r="C85" s="154"/>
      <c r="D85" s="154">
        <v>0.2</v>
      </c>
      <c r="E85" s="154">
        <v>0.2</v>
      </c>
      <c r="F85" s="130"/>
      <c r="G85" s="130"/>
      <c r="H85" s="130"/>
      <c r="I85" s="130"/>
      <c r="J85" s="166"/>
      <c r="K85" s="2"/>
      <c r="L85" s="2"/>
      <c r="M85" s="2"/>
    </row>
    <row r="86" spans="1:14" x14ac:dyDescent="0.25">
      <c r="A86" s="166"/>
      <c r="B86" s="134" t="s">
        <v>20</v>
      </c>
      <c r="C86" s="154"/>
      <c r="D86" s="154">
        <v>0.2</v>
      </c>
      <c r="E86" s="154">
        <v>0.2</v>
      </c>
      <c r="F86" s="130"/>
      <c r="G86" s="130"/>
      <c r="H86" s="130"/>
      <c r="I86" s="130"/>
      <c r="J86" s="166"/>
      <c r="K86" s="2"/>
      <c r="L86" s="2"/>
      <c r="M86" s="2"/>
    </row>
    <row r="87" spans="1:14" x14ac:dyDescent="0.25">
      <c r="A87" s="166"/>
      <c r="B87" s="120" t="s">
        <v>222</v>
      </c>
      <c r="C87" s="47">
        <v>120</v>
      </c>
      <c r="D87" s="47"/>
      <c r="E87" s="47"/>
      <c r="F87" s="46">
        <v>2.5</v>
      </c>
      <c r="G87" s="46">
        <v>5.62</v>
      </c>
      <c r="H87" s="46">
        <v>21.76</v>
      </c>
      <c r="I87" s="46">
        <v>145.96</v>
      </c>
      <c r="J87" s="155" t="s">
        <v>223</v>
      </c>
      <c r="K87" s="2"/>
      <c r="L87" s="2"/>
      <c r="M87" s="2"/>
    </row>
    <row r="88" spans="1:14" x14ac:dyDescent="0.25">
      <c r="A88" s="166"/>
      <c r="B88" s="134" t="s">
        <v>86</v>
      </c>
      <c r="C88" s="135"/>
      <c r="D88" s="135">
        <v>158.4</v>
      </c>
      <c r="E88" s="135">
        <v>118.8</v>
      </c>
      <c r="F88" s="3"/>
      <c r="G88" s="3"/>
      <c r="H88" s="3"/>
      <c r="I88" s="3"/>
      <c r="J88" s="4" t="s">
        <v>16</v>
      </c>
      <c r="K88" s="2"/>
      <c r="L88" s="2"/>
      <c r="M88" s="2"/>
    </row>
    <row r="89" spans="1:14" x14ac:dyDescent="0.25">
      <c r="A89" s="166"/>
      <c r="B89" s="134" t="s">
        <v>22</v>
      </c>
      <c r="C89" s="135"/>
      <c r="D89" s="135">
        <v>5.4</v>
      </c>
      <c r="E89" s="135">
        <v>5.4</v>
      </c>
      <c r="F89" s="3"/>
      <c r="G89" s="3"/>
      <c r="H89" s="3"/>
      <c r="I89" s="3"/>
      <c r="J89" s="160"/>
      <c r="K89" s="2"/>
      <c r="L89" s="2"/>
      <c r="M89" s="2"/>
    </row>
    <row r="90" spans="1:14" x14ac:dyDescent="0.25">
      <c r="A90" s="166"/>
      <c r="B90" s="134" t="s">
        <v>186</v>
      </c>
      <c r="C90" s="135"/>
      <c r="D90" s="135">
        <v>0.4</v>
      </c>
      <c r="E90" s="135">
        <v>0.4</v>
      </c>
      <c r="F90" s="3"/>
      <c r="G90" s="3"/>
      <c r="H90" s="3"/>
      <c r="I90" s="3"/>
      <c r="J90" s="160"/>
      <c r="L90" s="2"/>
      <c r="M90" s="2"/>
    </row>
    <row r="91" spans="1:14" x14ac:dyDescent="0.25">
      <c r="A91" s="3"/>
      <c r="B91" s="336" t="s">
        <v>196</v>
      </c>
      <c r="C91" s="126">
        <v>180</v>
      </c>
      <c r="D91" s="170"/>
      <c r="E91" s="170"/>
      <c r="F91" s="126">
        <v>1.26</v>
      </c>
      <c r="G91" s="126">
        <v>1.44</v>
      </c>
      <c r="H91" s="126">
        <v>14.76</v>
      </c>
      <c r="I91" s="126">
        <v>77.400000000000006</v>
      </c>
      <c r="J91" s="4" t="s">
        <v>458</v>
      </c>
      <c r="K91" s="2">
        <v>180</v>
      </c>
      <c r="L91" s="2"/>
      <c r="M91" s="2"/>
      <c r="N91" s="2"/>
    </row>
    <row r="92" spans="1:14" x14ac:dyDescent="0.25">
      <c r="A92" s="3"/>
      <c r="B92" s="164" t="s">
        <v>187</v>
      </c>
      <c r="C92" s="122"/>
      <c r="D92" s="127">
        <v>0.6</v>
      </c>
      <c r="E92" s="127">
        <v>0.6</v>
      </c>
      <c r="F92" s="126"/>
      <c r="G92" s="126"/>
      <c r="H92" s="126"/>
      <c r="I92" s="126"/>
      <c r="J92" s="4"/>
      <c r="K92" s="2"/>
      <c r="L92" s="2"/>
      <c r="M92" s="2"/>
      <c r="N92" s="2"/>
    </row>
    <row r="93" spans="1:14" x14ac:dyDescent="0.25">
      <c r="A93" s="3"/>
      <c r="B93" s="164" t="s">
        <v>27</v>
      </c>
      <c r="C93" s="122"/>
      <c r="D93" s="127">
        <v>108</v>
      </c>
      <c r="E93" s="127">
        <v>108</v>
      </c>
      <c r="F93" s="126"/>
      <c r="G93" s="126"/>
      <c r="H93" s="126"/>
      <c r="I93" s="126"/>
      <c r="J93" s="3"/>
      <c r="K93" s="2"/>
      <c r="L93" s="2"/>
      <c r="M93" s="2"/>
      <c r="N93" s="2"/>
    </row>
    <row r="94" spans="1:14" x14ac:dyDescent="0.25">
      <c r="A94" s="3"/>
      <c r="B94" s="164" t="s">
        <v>19</v>
      </c>
      <c r="C94" s="122"/>
      <c r="D94" s="127">
        <v>13.5</v>
      </c>
      <c r="E94" s="127">
        <v>13.5</v>
      </c>
      <c r="F94" s="126"/>
      <c r="G94" s="126"/>
      <c r="H94" s="126"/>
      <c r="I94" s="126"/>
      <c r="J94" s="3"/>
      <c r="K94" s="2"/>
      <c r="L94" s="2"/>
      <c r="M94" s="2"/>
      <c r="N94" s="2"/>
    </row>
    <row r="95" spans="1:14" x14ac:dyDescent="0.25">
      <c r="A95" s="3"/>
      <c r="B95" s="164" t="s">
        <v>18</v>
      </c>
      <c r="C95" s="122"/>
      <c r="D95" s="127">
        <v>60</v>
      </c>
      <c r="E95" s="127">
        <v>60</v>
      </c>
      <c r="F95" s="126"/>
      <c r="G95" s="126"/>
      <c r="H95" s="126"/>
      <c r="I95" s="126"/>
      <c r="J95" s="3"/>
      <c r="K95" s="2"/>
      <c r="L95" s="2"/>
      <c r="M95" s="2"/>
      <c r="N95" s="2"/>
    </row>
    <row r="96" spans="1:14" x14ac:dyDescent="0.25">
      <c r="A96" s="3"/>
      <c r="B96" s="97" t="s">
        <v>28</v>
      </c>
      <c r="C96" s="129">
        <v>10</v>
      </c>
      <c r="D96" s="130">
        <f>C96</f>
        <v>10</v>
      </c>
      <c r="E96" s="130">
        <f>C96</f>
        <v>10</v>
      </c>
      <c r="F96" s="126">
        <f>C96*1.52/20</f>
        <v>0.76</v>
      </c>
      <c r="G96" s="126">
        <f>C96*0.18/K96</f>
        <v>0.09</v>
      </c>
      <c r="H96" s="126">
        <f>C96*9.34/K96</f>
        <v>4.67</v>
      </c>
      <c r="I96" s="126">
        <f>C96*46.2/K96</f>
        <v>23.1</v>
      </c>
      <c r="J96" s="3"/>
      <c r="K96" s="72">
        <v>20</v>
      </c>
      <c r="L96" s="2"/>
      <c r="M96" s="2"/>
    </row>
    <row r="97" spans="1:13" x14ac:dyDescent="0.25">
      <c r="A97" s="3"/>
      <c r="B97" s="125" t="s">
        <v>84</v>
      </c>
      <c r="C97" s="129">
        <v>10</v>
      </c>
      <c r="D97" s="80">
        <f>C97</f>
        <v>10</v>
      </c>
      <c r="E97" s="80">
        <f>C97</f>
        <v>10</v>
      </c>
      <c r="F97" s="129">
        <f>C97*1.54/K97</f>
        <v>0.77</v>
      </c>
      <c r="G97" s="129">
        <f>C97*0.28/K97</f>
        <v>0.14000000000000001</v>
      </c>
      <c r="H97" s="129">
        <f>C97*7.52/K97</f>
        <v>3.7599999999999993</v>
      </c>
      <c r="I97" s="129">
        <f>C97*40.2/K97</f>
        <v>20.100000000000001</v>
      </c>
      <c r="J97" s="3"/>
      <c r="K97" s="72">
        <v>20</v>
      </c>
      <c r="L97" s="2"/>
      <c r="M97" s="2"/>
    </row>
    <row r="98" spans="1:13" x14ac:dyDescent="0.25">
      <c r="A98" s="5" t="s">
        <v>81</v>
      </c>
      <c r="B98" s="5"/>
      <c r="C98" s="8">
        <f>SUM(C72:C97)</f>
        <v>400</v>
      </c>
      <c r="D98" s="5"/>
      <c r="E98" s="5"/>
      <c r="F98" s="225">
        <f>SUM(F72:F97)</f>
        <v>13.62</v>
      </c>
      <c r="G98" s="225">
        <f>SUM(G72:G97)</f>
        <v>13.357142857142858</v>
      </c>
      <c r="H98" s="225">
        <f>SUM(H72:H97)</f>
        <v>54.63</v>
      </c>
      <c r="I98" s="225">
        <f>SUM(I72:I97)</f>
        <v>392.28000000000009</v>
      </c>
      <c r="J98" s="5"/>
      <c r="K98" s="2"/>
      <c r="L98" s="2"/>
      <c r="M98" s="2"/>
    </row>
    <row r="99" spans="1:13" x14ac:dyDescent="0.25">
      <c r="A99" s="13" t="s">
        <v>82</v>
      </c>
      <c r="B99" s="13"/>
      <c r="C99" s="13"/>
      <c r="D99" s="13"/>
      <c r="E99" s="13"/>
      <c r="F99" s="14">
        <f>F24+F26+F67+F71+F98</f>
        <v>50.515615763546791</v>
      </c>
      <c r="G99" s="14">
        <f>G24+G26+G67+G71+G98</f>
        <v>45.646187192118234</v>
      </c>
      <c r="H99" s="14">
        <f>H24+H26+H67+H71+H98</f>
        <v>230.82771428571428</v>
      </c>
      <c r="I99" s="14">
        <f>I24+I26+I67+I71+I98</f>
        <v>1539.6820049261087</v>
      </c>
      <c r="J99" s="13"/>
      <c r="K99" s="2"/>
      <c r="L99" s="2"/>
      <c r="M99" s="2"/>
    </row>
    <row r="100" spans="1:13" ht="16.5" thickBot="1" x14ac:dyDescent="0.3">
      <c r="J100" s="2"/>
      <c r="K100" s="2"/>
      <c r="L100" s="2"/>
      <c r="M100" s="2"/>
    </row>
    <row r="101" spans="1:13" ht="16.5" thickBot="1" x14ac:dyDescent="0.3">
      <c r="A101" s="182" t="s">
        <v>131</v>
      </c>
      <c r="B101" s="183" t="s">
        <v>132</v>
      </c>
      <c r="C101" s="184" t="s">
        <v>133</v>
      </c>
      <c r="D101" s="185" t="s">
        <v>134</v>
      </c>
      <c r="E101" s="186"/>
      <c r="F101" s="186"/>
      <c r="G101" s="186"/>
      <c r="H101" s="186"/>
      <c r="J101" s="2"/>
      <c r="K101" s="2"/>
      <c r="L101" s="2"/>
      <c r="M101" s="2"/>
    </row>
    <row r="102" spans="1:13" x14ac:dyDescent="0.25">
      <c r="A102" s="187" t="s">
        <v>135</v>
      </c>
      <c r="B102" s="188">
        <f>I24</f>
        <v>343.5</v>
      </c>
      <c r="C102" s="189">
        <f>B102/B107*100</f>
        <v>22.309801562984756</v>
      </c>
      <c r="D102" s="190">
        <v>0.2</v>
      </c>
      <c r="E102" s="70"/>
      <c r="F102" s="70"/>
      <c r="G102" s="191"/>
      <c r="H102" s="192"/>
      <c r="J102" s="2"/>
      <c r="K102" s="2"/>
      <c r="L102" s="2"/>
      <c r="M102" s="2"/>
    </row>
    <row r="103" spans="1:13" x14ac:dyDescent="0.25">
      <c r="A103" s="187" t="s">
        <v>136</v>
      </c>
      <c r="B103" s="188">
        <f>I26</f>
        <v>54</v>
      </c>
      <c r="C103" s="189">
        <f>B103/B107*100</f>
        <v>3.507217712958302</v>
      </c>
      <c r="D103" s="190">
        <v>0.05</v>
      </c>
      <c r="E103" s="70"/>
      <c r="F103" s="70"/>
      <c r="G103" s="191"/>
      <c r="H103" s="192"/>
      <c r="J103" s="2"/>
      <c r="K103" s="2"/>
      <c r="L103" s="2"/>
      <c r="M103" s="2"/>
    </row>
    <row r="104" spans="1:13" x14ac:dyDescent="0.25">
      <c r="A104" s="193" t="s">
        <v>137</v>
      </c>
      <c r="B104" s="194">
        <f>I67</f>
        <v>538.10300492610838</v>
      </c>
      <c r="C104" s="195">
        <f>B104/B107*100</f>
        <v>34.948970190239557</v>
      </c>
      <c r="D104" s="196">
        <v>0.35</v>
      </c>
      <c r="E104" s="70"/>
      <c r="F104" s="70"/>
      <c r="G104" s="191"/>
      <c r="H104" s="157"/>
      <c r="J104" s="2"/>
      <c r="K104" s="2"/>
      <c r="L104" s="2"/>
      <c r="M104" s="2"/>
    </row>
    <row r="105" spans="1:13" x14ac:dyDescent="0.25">
      <c r="A105" s="193" t="s">
        <v>138</v>
      </c>
      <c r="B105" s="194">
        <f>I71</f>
        <v>211.79899999999998</v>
      </c>
      <c r="C105" s="195">
        <f>B105/B107*100</f>
        <v>13.756022303460282</v>
      </c>
      <c r="D105" s="196">
        <v>0.15</v>
      </c>
      <c r="E105" s="70"/>
      <c r="F105" s="70"/>
      <c r="G105" s="191"/>
      <c r="H105" s="192"/>
      <c r="J105" s="2"/>
      <c r="K105" s="2"/>
      <c r="L105" s="2"/>
      <c r="M105" s="2"/>
    </row>
    <row r="106" spans="1:13" ht="16.5" thickBot="1" x14ac:dyDescent="0.3">
      <c r="A106" s="193" t="s">
        <v>139</v>
      </c>
      <c r="B106" s="194">
        <f>I98</f>
        <v>392.28000000000009</v>
      </c>
      <c r="C106" s="195">
        <f>B106/B107*100</f>
        <v>25.477988230357091</v>
      </c>
      <c r="D106" s="196">
        <v>0.25</v>
      </c>
      <c r="E106" s="70"/>
      <c r="F106" s="70"/>
      <c r="G106" s="191"/>
      <c r="H106" s="192"/>
      <c r="J106" s="2"/>
      <c r="K106" s="2"/>
      <c r="L106" s="2"/>
      <c r="M106" s="2"/>
    </row>
    <row r="107" spans="1:13" ht="16.5" thickBot="1" x14ac:dyDescent="0.3">
      <c r="A107" s="197" t="s">
        <v>140</v>
      </c>
      <c r="B107" s="198">
        <f>SUM(B102:B106)</f>
        <v>1539.6820049261087</v>
      </c>
      <c r="C107" s="199"/>
      <c r="D107" s="200"/>
      <c r="E107" s="70"/>
      <c r="F107" s="70"/>
      <c r="G107" s="70"/>
      <c r="H107" s="70"/>
      <c r="J107" s="2"/>
      <c r="K107" s="2"/>
      <c r="L107" s="2"/>
      <c r="M107" s="2"/>
    </row>
    <row r="108" spans="1:13" x14ac:dyDescent="0.25"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14"/>
  <sheetViews>
    <sheetView view="pageBreakPreview" zoomScale="98" zoomScaleSheetLayoutView="98" workbookViewId="0">
      <selection activeCell="C26" sqref="C26"/>
    </sheetView>
  </sheetViews>
  <sheetFormatPr defaultRowHeight="15.75" x14ac:dyDescent="0.25"/>
  <cols>
    <col min="1" max="1" width="16" style="124" customWidth="1"/>
    <col min="2" max="2" width="22.5703125" style="124" customWidth="1"/>
    <col min="3" max="16384" width="9.140625" style="124"/>
  </cols>
  <sheetData>
    <row r="1" spans="1:16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2"/>
      <c r="L1" s="2"/>
      <c r="M1" s="2"/>
      <c r="N1" s="2"/>
      <c r="O1" s="2"/>
      <c r="P1" s="2"/>
    </row>
    <row r="2" spans="1:16" x14ac:dyDescent="0.25">
      <c r="A2" s="2" t="s">
        <v>383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411" t="s">
        <v>1</v>
      </c>
      <c r="B4" s="411" t="s">
        <v>2</v>
      </c>
      <c r="C4" s="411" t="s">
        <v>3</v>
      </c>
      <c r="D4" s="413" t="s">
        <v>12</v>
      </c>
      <c r="E4" s="414"/>
      <c r="F4" s="409" t="s">
        <v>7</v>
      </c>
      <c r="G4" s="410"/>
      <c r="H4" s="410"/>
      <c r="I4" s="411" t="s">
        <v>8</v>
      </c>
      <c r="J4" s="409" t="s">
        <v>9</v>
      </c>
      <c r="K4" s="2"/>
      <c r="L4" s="2"/>
      <c r="M4" s="2"/>
      <c r="N4" s="2"/>
      <c r="O4" s="2"/>
      <c r="P4" s="2"/>
    </row>
    <row r="5" spans="1:16" x14ac:dyDescent="0.25">
      <c r="A5" s="412"/>
      <c r="B5" s="412"/>
      <c r="C5" s="412"/>
      <c r="D5" s="314" t="s">
        <v>10</v>
      </c>
      <c r="E5" s="314" t="s">
        <v>11</v>
      </c>
      <c r="F5" s="4" t="s">
        <v>4</v>
      </c>
      <c r="G5" s="4" t="s">
        <v>5</v>
      </c>
      <c r="H5" s="4" t="s">
        <v>6</v>
      </c>
      <c r="I5" s="412"/>
      <c r="J5" s="410"/>
      <c r="K5" s="2"/>
      <c r="L5" s="2"/>
      <c r="M5" s="2"/>
      <c r="N5" s="2"/>
      <c r="O5" s="2"/>
      <c r="P5" s="2"/>
    </row>
    <row r="6" spans="1:16" ht="31.5" x14ac:dyDescent="0.25">
      <c r="A6" s="201" t="s">
        <v>293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</row>
    <row r="7" spans="1:16" ht="47.25" x14ac:dyDescent="0.25">
      <c r="A7" s="4" t="s">
        <v>14</v>
      </c>
      <c r="B7" s="15" t="s">
        <v>294</v>
      </c>
      <c r="C7" s="126">
        <v>130</v>
      </c>
      <c r="D7" s="122"/>
      <c r="E7" s="122"/>
      <c r="F7" s="126">
        <v>4</v>
      </c>
      <c r="G7" s="126">
        <v>5.64</v>
      </c>
      <c r="H7" s="126">
        <v>16.149999999999999</v>
      </c>
      <c r="I7" s="126">
        <v>131.51</v>
      </c>
      <c r="J7" s="4" t="s">
        <v>296</v>
      </c>
      <c r="K7" s="2"/>
      <c r="L7" s="2"/>
      <c r="M7" s="2"/>
      <c r="N7" s="2"/>
      <c r="O7" s="2"/>
      <c r="P7" s="2"/>
    </row>
    <row r="8" spans="1:16" x14ac:dyDescent="0.25">
      <c r="A8" s="3"/>
      <c r="B8" s="66" t="s">
        <v>295</v>
      </c>
      <c r="C8" s="122"/>
      <c r="D8" s="122">
        <v>19</v>
      </c>
      <c r="E8" s="122">
        <v>19</v>
      </c>
      <c r="F8" s="126"/>
      <c r="G8" s="126"/>
      <c r="H8" s="126"/>
      <c r="I8" s="126"/>
      <c r="J8" s="4" t="s">
        <v>16</v>
      </c>
      <c r="K8" s="2"/>
      <c r="L8" s="2"/>
      <c r="M8" s="2"/>
      <c r="N8" s="2"/>
      <c r="O8" s="2"/>
      <c r="P8" s="2"/>
    </row>
    <row r="9" spans="1:16" x14ac:dyDescent="0.25">
      <c r="A9" s="3"/>
      <c r="B9" s="123" t="s">
        <v>18</v>
      </c>
      <c r="C9" s="122"/>
      <c r="D9" s="122">
        <v>67.7</v>
      </c>
      <c r="E9" s="122">
        <v>67.7</v>
      </c>
      <c r="F9" s="126"/>
      <c r="G9" s="126"/>
      <c r="H9" s="126"/>
      <c r="I9" s="126"/>
      <c r="J9" s="3"/>
      <c r="K9" s="2"/>
      <c r="L9" s="2"/>
      <c r="M9" s="2"/>
      <c r="N9" s="2"/>
      <c r="O9" s="2"/>
      <c r="P9" s="2"/>
    </row>
    <row r="10" spans="1:16" x14ac:dyDescent="0.25">
      <c r="A10" s="3"/>
      <c r="B10" s="123" t="s">
        <v>27</v>
      </c>
      <c r="C10" s="122"/>
      <c r="D10" s="122">
        <v>44</v>
      </c>
      <c r="E10" s="122">
        <v>44</v>
      </c>
      <c r="F10" s="126"/>
      <c r="G10" s="126"/>
      <c r="H10" s="126"/>
      <c r="I10" s="126"/>
      <c r="J10" s="3"/>
      <c r="K10" s="2"/>
      <c r="L10" s="2"/>
      <c r="M10" s="2"/>
      <c r="N10" s="2"/>
      <c r="O10" s="2"/>
      <c r="P10" s="2"/>
    </row>
    <row r="11" spans="1:16" x14ac:dyDescent="0.25">
      <c r="A11" s="3"/>
      <c r="B11" s="123" t="s">
        <v>22</v>
      </c>
      <c r="C11" s="122"/>
      <c r="D11" s="122">
        <v>3</v>
      </c>
      <c r="E11" s="122">
        <v>3</v>
      </c>
      <c r="F11" s="126"/>
      <c r="G11" s="126"/>
      <c r="H11" s="126"/>
      <c r="I11" s="126"/>
      <c r="J11" s="3"/>
      <c r="K11" s="2"/>
      <c r="L11" s="2"/>
      <c r="M11" s="2"/>
      <c r="N11" s="2"/>
      <c r="O11" s="2"/>
      <c r="P11" s="2"/>
    </row>
    <row r="12" spans="1:16" x14ac:dyDescent="0.25">
      <c r="A12" s="3"/>
      <c r="B12" s="66" t="s">
        <v>19</v>
      </c>
      <c r="C12" s="122"/>
      <c r="D12" s="122">
        <v>3.1</v>
      </c>
      <c r="E12" s="122">
        <v>3.1</v>
      </c>
      <c r="F12" s="126"/>
      <c r="G12" s="126"/>
      <c r="H12" s="126"/>
      <c r="I12" s="126"/>
      <c r="J12" s="3"/>
      <c r="K12" s="2"/>
      <c r="L12" s="2"/>
      <c r="M12" s="2"/>
      <c r="N12" s="2"/>
      <c r="O12" s="2"/>
      <c r="P12" s="2"/>
    </row>
    <row r="13" spans="1:16" x14ac:dyDescent="0.25">
      <c r="A13" s="3"/>
      <c r="B13" s="66" t="s">
        <v>20</v>
      </c>
      <c r="C13" s="122"/>
      <c r="D13" s="122">
        <v>0.52</v>
      </c>
      <c r="E13" s="122">
        <v>0.52</v>
      </c>
      <c r="F13" s="126"/>
      <c r="G13" s="126"/>
      <c r="H13" s="126"/>
      <c r="I13" s="126"/>
      <c r="J13" s="3"/>
      <c r="K13" s="2"/>
      <c r="L13" s="2"/>
      <c r="M13" s="2"/>
      <c r="N13" s="2"/>
      <c r="O13" s="2"/>
      <c r="P13" s="2"/>
    </row>
    <row r="14" spans="1:16" x14ac:dyDescent="0.25">
      <c r="A14" s="3"/>
      <c r="B14" s="46" t="s">
        <v>21</v>
      </c>
      <c r="C14" s="122"/>
      <c r="D14" s="122"/>
      <c r="E14" s="126">
        <v>127</v>
      </c>
      <c r="F14" s="126"/>
      <c r="G14" s="126"/>
      <c r="H14" s="126"/>
      <c r="I14" s="126"/>
      <c r="J14" s="3"/>
      <c r="K14" s="2"/>
      <c r="L14" s="2"/>
      <c r="M14" s="2"/>
      <c r="N14" s="2"/>
      <c r="O14" s="2"/>
      <c r="P14" s="2"/>
    </row>
    <row r="15" spans="1:16" x14ac:dyDescent="0.25">
      <c r="A15" s="3"/>
      <c r="B15" s="66" t="s">
        <v>22</v>
      </c>
      <c r="C15" s="122"/>
      <c r="D15" s="122">
        <v>3</v>
      </c>
      <c r="E15" s="122">
        <v>3</v>
      </c>
      <c r="F15" s="126"/>
      <c r="G15" s="126"/>
      <c r="H15" s="126"/>
      <c r="I15" s="126"/>
      <c r="J15" s="3"/>
      <c r="K15" s="2"/>
      <c r="L15" s="2"/>
      <c r="M15" s="2"/>
      <c r="N15" s="2"/>
      <c r="O15" s="2"/>
      <c r="P15" s="2"/>
    </row>
    <row r="16" spans="1:16" x14ac:dyDescent="0.25">
      <c r="A16" s="3"/>
      <c r="B16" s="97" t="s">
        <v>23</v>
      </c>
      <c r="C16" s="129">
        <v>20</v>
      </c>
      <c r="D16" s="80">
        <f>C16*16.5/K16</f>
        <v>22</v>
      </c>
      <c r="E16" s="80">
        <f>C16</f>
        <v>20</v>
      </c>
      <c r="F16" s="126">
        <f>C16*3.9/K16</f>
        <v>5.2</v>
      </c>
      <c r="G16" s="126">
        <f>C16*4.02/K16</f>
        <v>5.3599999999999994</v>
      </c>
      <c r="H16" s="126">
        <v>0</v>
      </c>
      <c r="I16" s="126">
        <f>C16*52.8/K16</f>
        <v>70.400000000000006</v>
      </c>
      <c r="J16" s="3"/>
      <c r="K16" s="2">
        <v>15</v>
      </c>
      <c r="L16" s="2"/>
      <c r="M16" s="2"/>
      <c r="N16" s="2"/>
      <c r="O16" s="2"/>
      <c r="P16" s="2"/>
    </row>
    <row r="17" spans="1:16" x14ac:dyDescent="0.25">
      <c r="A17" s="3"/>
      <c r="B17" s="336" t="s">
        <v>196</v>
      </c>
      <c r="C17" s="126">
        <v>180</v>
      </c>
      <c r="D17" s="170"/>
      <c r="E17" s="170"/>
      <c r="F17" s="126">
        <v>1.26</v>
      </c>
      <c r="G17" s="126">
        <v>1.44</v>
      </c>
      <c r="H17" s="126">
        <v>14.76</v>
      </c>
      <c r="I17" s="126">
        <v>77.400000000000006</v>
      </c>
      <c r="J17" s="4" t="s">
        <v>459</v>
      </c>
      <c r="K17" s="2">
        <v>180</v>
      </c>
      <c r="L17" s="2"/>
      <c r="M17" s="2"/>
      <c r="N17" s="2"/>
      <c r="O17" s="2"/>
      <c r="P17" s="2"/>
    </row>
    <row r="18" spans="1:16" x14ac:dyDescent="0.25">
      <c r="A18" s="3"/>
      <c r="B18" s="164" t="s">
        <v>187</v>
      </c>
      <c r="C18" s="122"/>
      <c r="D18" s="127">
        <v>0.6</v>
      </c>
      <c r="E18" s="127">
        <v>0.6</v>
      </c>
      <c r="F18" s="126"/>
      <c r="G18" s="126"/>
      <c r="H18" s="126"/>
      <c r="I18" s="126"/>
      <c r="J18" s="4" t="s">
        <v>460</v>
      </c>
      <c r="K18" s="2"/>
      <c r="L18" s="2"/>
      <c r="M18" s="2"/>
      <c r="N18" s="2"/>
      <c r="O18" s="2"/>
      <c r="P18" s="2"/>
    </row>
    <row r="19" spans="1:16" x14ac:dyDescent="0.25">
      <c r="A19" s="3"/>
      <c r="B19" s="164" t="s">
        <v>27</v>
      </c>
      <c r="C19" s="122"/>
      <c r="D19" s="127">
        <v>108</v>
      </c>
      <c r="E19" s="127">
        <v>108</v>
      </c>
      <c r="F19" s="126"/>
      <c r="G19" s="126"/>
      <c r="H19" s="126"/>
      <c r="I19" s="126"/>
      <c r="J19" s="3"/>
      <c r="K19" s="2"/>
      <c r="L19" s="2"/>
      <c r="M19" s="2"/>
      <c r="N19" s="2"/>
      <c r="O19" s="2"/>
      <c r="P19" s="2"/>
    </row>
    <row r="20" spans="1:16" x14ac:dyDescent="0.25">
      <c r="A20" s="3"/>
      <c r="B20" s="164" t="s">
        <v>19</v>
      </c>
      <c r="C20" s="122"/>
      <c r="D20" s="127">
        <v>13.5</v>
      </c>
      <c r="E20" s="127">
        <v>13.5</v>
      </c>
      <c r="F20" s="126"/>
      <c r="G20" s="126"/>
      <c r="H20" s="126"/>
      <c r="I20" s="126"/>
      <c r="J20" s="3"/>
      <c r="K20" s="2"/>
      <c r="L20" s="2"/>
      <c r="M20" s="2"/>
      <c r="N20" s="2"/>
      <c r="O20" s="2"/>
      <c r="P20" s="2"/>
    </row>
    <row r="21" spans="1:16" x14ac:dyDescent="0.25">
      <c r="A21" s="3"/>
      <c r="B21" s="164" t="s">
        <v>18</v>
      </c>
      <c r="C21" s="122"/>
      <c r="D21" s="127">
        <v>60</v>
      </c>
      <c r="E21" s="127">
        <v>60</v>
      </c>
      <c r="F21" s="126"/>
      <c r="G21" s="126"/>
      <c r="H21" s="126"/>
      <c r="I21" s="126"/>
      <c r="J21" s="3"/>
      <c r="K21" s="2"/>
      <c r="L21" s="2"/>
      <c r="M21" s="2"/>
      <c r="N21" s="2"/>
      <c r="O21" s="2"/>
      <c r="P21" s="2"/>
    </row>
    <row r="22" spans="1:16" x14ac:dyDescent="0.25">
      <c r="A22" s="3"/>
      <c r="B22" s="125" t="s">
        <v>84</v>
      </c>
      <c r="C22" s="129">
        <v>20</v>
      </c>
      <c r="D22" s="130">
        <f>C22</f>
        <v>20</v>
      </c>
      <c r="E22" s="130">
        <f>C22</f>
        <v>20</v>
      </c>
      <c r="F22" s="129">
        <f>C22*1.54/K22</f>
        <v>1.54</v>
      </c>
      <c r="G22" s="129">
        <f>C22*0.28/K22</f>
        <v>0.28000000000000003</v>
      </c>
      <c r="H22" s="129">
        <f>C22*7.52/K22</f>
        <v>7.5199999999999987</v>
      </c>
      <c r="I22" s="129">
        <f>C22*40.2/K22</f>
        <v>40.200000000000003</v>
      </c>
      <c r="J22" s="3"/>
      <c r="K22" s="72">
        <v>20</v>
      </c>
      <c r="L22" s="2"/>
      <c r="M22" s="2"/>
      <c r="N22" s="2"/>
      <c r="O22" s="2"/>
      <c r="P22" s="2"/>
    </row>
    <row r="23" spans="1:16" x14ac:dyDescent="0.25">
      <c r="A23" s="5" t="s">
        <v>30</v>
      </c>
      <c r="B23" s="6"/>
      <c r="C23" s="8">
        <f>SUM(C7:C22)</f>
        <v>350</v>
      </c>
      <c r="D23" s="6"/>
      <c r="E23" s="6"/>
      <c r="F23" s="8">
        <f>SUM(F7:F22)</f>
        <v>12</v>
      </c>
      <c r="G23" s="8">
        <f>SUM(G7:G22)</f>
        <v>12.719999999999999</v>
      </c>
      <c r="H23" s="8">
        <f>SUM(H7:H22)</f>
        <v>38.429999999999993</v>
      </c>
      <c r="I23" s="8">
        <f>SUM(I7:I22)</f>
        <v>319.51</v>
      </c>
      <c r="J23" s="6"/>
      <c r="K23" s="2"/>
      <c r="L23" s="2"/>
      <c r="M23" s="2"/>
      <c r="N23" s="2"/>
      <c r="O23" s="2"/>
      <c r="P23" s="2"/>
    </row>
    <row r="24" spans="1:16" x14ac:dyDescent="0.25">
      <c r="A24" s="4" t="s">
        <v>31</v>
      </c>
      <c r="B24" s="97" t="s">
        <v>297</v>
      </c>
      <c r="C24" s="126">
        <v>100</v>
      </c>
      <c r="D24" s="122">
        <v>114</v>
      </c>
      <c r="E24" s="122">
        <f>C24</f>
        <v>100</v>
      </c>
      <c r="F24" s="126">
        <f>C24*0.44/K24</f>
        <v>0.4</v>
      </c>
      <c r="G24" s="126">
        <f>C24*0.44/K24</f>
        <v>0.4</v>
      </c>
      <c r="H24" s="126">
        <f>C24*10.78/K24</f>
        <v>9.8000000000000007</v>
      </c>
      <c r="I24" s="126">
        <v>45</v>
      </c>
      <c r="J24" s="3"/>
      <c r="K24" s="2">
        <v>110</v>
      </c>
      <c r="L24" s="2"/>
      <c r="M24" s="2"/>
      <c r="N24" s="2"/>
      <c r="O24" s="2"/>
      <c r="P24" s="2"/>
    </row>
    <row r="25" spans="1:16" ht="47.25" x14ac:dyDescent="0.25">
      <c r="A25" s="9" t="s">
        <v>32</v>
      </c>
      <c r="B25" s="6"/>
      <c r="C25" s="6"/>
      <c r="D25" s="6"/>
      <c r="E25" s="6"/>
      <c r="F25" s="8">
        <f>SUM(F24)</f>
        <v>0.4</v>
      </c>
      <c r="G25" s="8">
        <f>SUM(G24)</f>
        <v>0.4</v>
      </c>
      <c r="H25" s="8">
        <f>SUM(H24)</f>
        <v>9.8000000000000007</v>
      </c>
      <c r="I25" s="8">
        <f>SUM(I24)</f>
        <v>45</v>
      </c>
      <c r="J25" s="6"/>
      <c r="K25" s="2"/>
      <c r="L25" s="2"/>
      <c r="M25" s="2"/>
      <c r="N25" s="2"/>
      <c r="O25" s="2"/>
      <c r="P25" s="2"/>
    </row>
    <row r="26" spans="1:16" x14ac:dyDescent="0.25">
      <c r="A26" s="10" t="s">
        <v>33</v>
      </c>
      <c r="B26" s="96" t="s">
        <v>40</v>
      </c>
      <c r="C26" s="137">
        <v>40</v>
      </c>
      <c r="D26" s="11"/>
      <c r="E26" s="11"/>
      <c r="F26" s="10">
        <f>C26*1.14/K26</f>
        <v>0.7599999999999999</v>
      </c>
      <c r="G26" s="4">
        <f>C26*4.56/K26</f>
        <v>3.0399999999999996</v>
      </c>
      <c r="H26" s="4">
        <f>C26*6.79/K26</f>
        <v>4.5266666666666673</v>
      </c>
      <c r="I26" s="4">
        <f>C26*73.27/K26</f>
        <v>48.846666666666664</v>
      </c>
      <c r="J26" s="4" t="s">
        <v>41</v>
      </c>
      <c r="K26" s="72">
        <v>60</v>
      </c>
      <c r="L26" s="2"/>
      <c r="M26" s="2"/>
      <c r="N26" s="2"/>
      <c r="O26" s="2"/>
      <c r="P26" s="2"/>
    </row>
    <row r="27" spans="1:16" x14ac:dyDescent="0.25">
      <c r="A27" s="3"/>
      <c r="B27" s="139" t="s">
        <v>34</v>
      </c>
      <c r="C27" s="129"/>
      <c r="D27" s="144">
        <v>38.28</v>
      </c>
      <c r="E27" s="144">
        <v>30.64</v>
      </c>
      <c r="F27" s="4"/>
      <c r="G27" s="4"/>
      <c r="H27" s="4"/>
      <c r="I27" s="4"/>
      <c r="J27" s="4" t="s">
        <v>42</v>
      </c>
      <c r="K27" s="2"/>
      <c r="L27" s="2"/>
      <c r="M27" s="2"/>
      <c r="N27" s="2"/>
      <c r="O27" s="2"/>
      <c r="P27" s="2"/>
    </row>
    <row r="28" spans="1:16" x14ac:dyDescent="0.25">
      <c r="A28" s="3"/>
      <c r="B28" s="139" t="s">
        <v>35</v>
      </c>
      <c r="C28" s="129"/>
      <c r="D28" s="144">
        <v>8.3000000000000007</v>
      </c>
      <c r="E28" s="144">
        <f>C26*10.5/K26</f>
        <v>7</v>
      </c>
      <c r="F28" s="4"/>
      <c r="G28" s="4"/>
      <c r="H28" s="4"/>
      <c r="I28" s="4"/>
      <c r="J28" s="3"/>
      <c r="K28" s="2"/>
      <c r="L28" s="2"/>
      <c r="M28" s="2"/>
      <c r="N28" s="2"/>
      <c r="O28" s="2"/>
      <c r="P28" s="2"/>
    </row>
    <row r="29" spans="1:16" ht="31.5" x14ac:dyDescent="0.25">
      <c r="A29" s="3"/>
      <c r="B29" s="143" t="s">
        <v>36</v>
      </c>
      <c r="C29" s="129"/>
      <c r="D29" s="144">
        <f>C26*6.6/K26</f>
        <v>4.4000000000000004</v>
      </c>
      <c r="E29" s="144">
        <f>C26*6.6/K26</f>
        <v>4.4000000000000004</v>
      </c>
      <c r="F29" s="4"/>
      <c r="G29" s="4"/>
      <c r="H29" s="4"/>
      <c r="I29" s="4"/>
      <c r="J29" s="3"/>
      <c r="K29" s="2"/>
      <c r="L29" s="2"/>
      <c r="M29" s="2"/>
      <c r="N29" s="2"/>
      <c r="O29" s="2"/>
      <c r="P29" s="2"/>
    </row>
    <row r="30" spans="1:16" x14ac:dyDescent="0.25">
      <c r="A30" s="3"/>
      <c r="B30" s="145" t="s">
        <v>37</v>
      </c>
      <c r="C30" s="129"/>
      <c r="D30" s="144">
        <f>C26*4.5/K26</f>
        <v>3</v>
      </c>
      <c r="E30" s="144">
        <f>C26*4.5/K26</f>
        <v>3</v>
      </c>
      <c r="F30" s="4"/>
      <c r="G30" s="4"/>
      <c r="H30" s="4"/>
      <c r="I30" s="4"/>
      <c r="J30" s="3"/>
      <c r="K30" s="2"/>
      <c r="L30" s="2"/>
      <c r="M30" s="2"/>
      <c r="N30" s="2"/>
      <c r="O30" s="2"/>
      <c r="P30" s="2"/>
    </row>
    <row r="31" spans="1:16" x14ac:dyDescent="0.25">
      <c r="A31" s="3"/>
      <c r="B31" s="145" t="s">
        <v>38</v>
      </c>
      <c r="C31" s="129"/>
      <c r="D31" s="144">
        <f>C26*0.027/K26</f>
        <v>1.8000000000000002E-2</v>
      </c>
      <c r="E31" s="144">
        <f>C26*0.027/K26</f>
        <v>1.8000000000000002E-2</v>
      </c>
      <c r="F31" s="4"/>
      <c r="G31" s="4"/>
      <c r="H31" s="4"/>
      <c r="I31" s="4"/>
      <c r="J31" s="3"/>
      <c r="K31" s="2"/>
      <c r="L31" s="2"/>
      <c r="M31" s="2"/>
      <c r="N31" s="2"/>
      <c r="O31" s="2"/>
      <c r="P31" s="2"/>
    </row>
    <row r="32" spans="1:16" x14ac:dyDescent="0.25">
      <c r="A32" s="3"/>
      <c r="B32" s="139" t="s">
        <v>39</v>
      </c>
      <c r="C32" s="129"/>
      <c r="D32" s="144">
        <f>C26*0.72/K26</f>
        <v>0.47999999999999993</v>
      </c>
      <c r="E32" s="144">
        <f>C26*0.72/K26</f>
        <v>0.47999999999999993</v>
      </c>
      <c r="F32" s="4"/>
      <c r="G32" s="4"/>
      <c r="H32" s="4"/>
      <c r="I32" s="4"/>
      <c r="J32" s="3"/>
      <c r="K32" s="2"/>
      <c r="L32" s="2"/>
      <c r="M32" s="2"/>
      <c r="N32" s="2"/>
      <c r="O32" s="2"/>
      <c r="P32" s="2"/>
    </row>
    <row r="33" spans="1:16" x14ac:dyDescent="0.25">
      <c r="A33" s="3"/>
      <c r="B33" s="139" t="s">
        <v>20</v>
      </c>
      <c r="C33" s="129"/>
      <c r="D33" s="144">
        <f>C26*0.6/K26</f>
        <v>0.4</v>
      </c>
      <c r="E33" s="144">
        <f>C26*0.6/K26</f>
        <v>0.4</v>
      </c>
      <c r="F33" s="4"/>
      <c r="G33" s="4"/>
      <c r="H33" s="4"/>
      <c r="I33" s="4"/>
      <c r="J33" s="3"/>
      <c r="K33" s="2"/>
      <c r="L33" s="2"/>
      <c r="M33" s="2"/>
      <c r="N33" s="2"/>
      <c r="O33" s="2"/>
      <c r="P33" s="2"/>
    </row>
    <row r="34" spans="1:16" ht="47.25" x14ac:dyDescent="0.25">
      <c r="A34" s="3"/>
      <c r="B34" s="15" t="s">
        <v>299</v>
      </c>
      <c r="C34" s="129">
        <v>165</v>
      </c>
      <c r="D34" s="3"/>
      <c r="E34" s="3"/>
      <c r="F34" s="105">
        <v>3.94</v>
      </c>
      <c r="G34" s="105">
        <v>6.48</v>
      </c>
      <c r="H34" s="105">
        <v>6.66</v>
      </c>
      <c r="I34" s="105">
        <v>93.39</v>
      </c>
      <c r="J34" s="46" t="s">
        <v>403</v>
      </c>
      <c r="K34" s="2"/>
      <c r="L34" s="2"/>
      <c r="M34" s="2"/>
      <c r="N34" s="2"/>
      <c r="O34" s="2"/>
      <c r="P34" s="2"/>
    </row>
    <row r="35" spans="1:16" x14ac:dyDescent="0.25">
      <c r="A35" s="3"/>
      <c r="B35" s="3" t="s">
        <v>156</v>
      </c>
      <c r="C35" s="130"/>
      <c r="D35" s="76">
        <v>17.3</v>
      </c>
      <c r="E35" s="76">
        <v>16</v>
      </c>
      <c r="F35" s="4"/>
      <c r="G35" s="4"/>
      <c r="H35" s="4"/>
      <c r="I35" s="4"/>
      <c r="J35" s="4" t="s">
        <v>16</v>
      </c>
      <c r="K35" s="2"/>
      <c r="L35" s="2"/>
      <c r="M35" s="2"/>
      <c r="N35" s="2"/>
      <c r="O35" s="2"/>
      <c r="P35" s="2"/>
    </row>
    <row r="36" spans="1:16" x14ac:dyDescent="0.25">
      <c r="A36" s="3"/>
      <c r="B36" s="3" t="s">
        <v>27</v>
      </c>
      <c r="C36" s="130"/>
      <c r="D36" s="76">
        <v>167</v>
      </c>
      <c r="E36" s="76">
        <v>167</v>
      </c>
      <c r="F36" s="4"/>
      <c r="G36" s="4"/>
      <c r="H36" s="4"/>
      <c r="I36" s="4"/>
      <c r="J36" s="3"/>
      <c r="K36" s="2"/>
      <c r="L36" s="2"/>
      <c r="M36" s="2"/>
      <c r="N36" s="2"/>
      <c r="O36" s="2"/>
      <c r="P36" s="2"/>
    </row>
    <row r="37" spans="1:16" x14ac:dyDescent="0.25">
      <c r="A37" s="3"/>
      <c r="B37" s="3" t="s">
        <v>44</v>
      </c>
      <c r="C37" s="130"/>
      <c r="D37" s="76"/>
      <c r="E37" s="76">
        <v>10</v>
      </c>
      <c r="F37" s="4"/>
      <c r="G37" s="4"/>
      <c r="H37" s="4"/>
      <c r="I37" s="4"/>
      <c r="J37" s="3"/>
      <c r="K37" s="2">
        <v>12</v>
      </c>
      <c r="L37" s="2"/>
      <c r="M37" s="2"/>
      <c r="N37" s="2"/>
      <c r="O37" s="2"/>
      <c r="P37" s="2"/>
    </row>
    <row r="38" spans="1:16" ht="31.5" x14ac:dyDescent="0.25">
      <c r="A38" s="3"/>
      <c r="B38" s="147" t="s">
        <v>45</v>
      </c>
      <c r="C38" s="130"/>
      <c r="D38" s="3"/>
      <c r="E38" s="207">
        <f>E37*145/K37</f>
        <v>120.83333333333333</v>
      </c>
      <c r="F38" s="4"/>
      <c r="G38" s="4"/>
      <c r="H38" s="4"/>
      <c r="I38" s="4"/>
      <c r="J38" s="3"/>
      <c r="K38" s="2"/>
      <c r="L38" s="2"/>
      <c r="M38" s="2"/>
      <c r="N38" s="2"/>
      <c r="O38" s="2"/>
      <c r="P38" s="2"/>
    </row>
    <row r="39" spans="1:16" x14ac:dyDescent="0.25">
      <c r="A39" s="3"/>
      <c r="B39" s="3" t="s">
        <v>298</v>
      </c>
      <c r="C39" s="130">
        <v>150</v>
      </c>
      <c r="D39" s="207">
        <v>37.5</v>
      </c>
      <c r="E39" s="207">
        <f>C39*36.3636363636364/K39</f>
        <v>29.970029970030001</v>
      </c>
      <c r="F39" s="4"/>
      <c r="G39" s="4"/>
      <c r="H39" s="4"/>
      <c r="I39" s="4"/>
      <c r="J39" s="3"/>
      <c r="K39" s="2">
        <v>182</v>
      </c>
      <c r="L39" s="2"/>
      <c r="M39" s="2"/>
      <c r="N39" s="2"/>
      <c r="O39" s="2"/>
      <c r="P39" s="2"/>
    </row>
    <row r="40" spans="1:16" x14ac:dyDescent="0.25">
      <c r="A40" s="3"/>
      <c r="B40" s="3" t="s">
        <v>47</v>
      </c>
      <c r="C40" s="130"/>
      <c r="D40" s="207">
        <f>C39*29.0909090909091/K39</f>
        <v>23.976023976023981</v>
      </c>
      <c r="E40" s="207">
        <v>18</v>
      </c>
      <c r="F40" s="4"/>
      <c r="G40" s="4"/>
      <c r="H40" s="4"/>
      <c r="I40" s="4"/>
      <c r="J40" s="3"/>
      <c r="K40" s="2"/>
      <c r="L40" s="2"/>
      <c r="M40" s="2"/>
      <c r="N40" s="2"/>
      <c r="O40" s="2"/>
      <c r="P40" s="2"/>
    </row>
    <row r="41" spans="1:16" x14ac:dyDescent="0.25">
      <c r="A41" s="3"/>
      <c r="B41" s="3" t="s">
        <v>48</v>
      </c>
      <c r="C41" s="130"/>
      <c r="D41" s="207">
        <f>C39*9.09090909090909/K39</f>
        <v>7.4925074925074915</v>
      </c>
      <c r="E41" s="207">
        <f>C39*7.27272727272727/K39</f>
        <v>5.9940059940059918</v>
      </c>
      <c r="F41" s="4"/>
      <c r="G41" s="4"/>
      <c r="H41" s="4"/>
      <c r="I41" s="4"/>
      <c r="J41" s="3"/>
      <c r="K41" s="2"/>
      <c r="L41" s="2"/>
      <c r="M41" s="2"/>
      <c r="N41" s="2"/>
      <c r="O41" s="2"/>
      <c r="P41" s="2"/>
    </row>
    <row r="42" spans="1:16" x14ac:dyDescent="0.25">
      <c r="A42" s="3"/>
      <c r="B42" s="3" t="s">
        <v>49</v>
      </c>
      <c r="C42" s="130"/>
      <c r="D42" s="207">
        <f>C39*8.72727272727273/K39</f>
        <v>7.1928071928071953</v>
      </c>
      <c r="E42" s="207">
        <f>C39*7.27272727272727/K39</f>
        <v>5.9940059940059918</v>
      </c>
      <c r="F42" s="4"/>
      <c r="G42" s="4"/>
      <c r="H42" s="4"/>
      <c r="I42" s="4"/>
      <c r="J42" s="3"/>
      <c r="K42" s="2"/>
      <c r="L42" s="2"/>
      <c r="M42" s="2"/>
      <c r="N42" s="2"/>
      <c r="O42" s="2"/>
      <c r="P42" s="2"/>
    </row>
    <row r="43" spans="1:16" x14ac:dyDescent="0.25">
      <c r="A43" s="3"/>
      <c r="B43" s="3" t="s">
        <v>22</v>
      </c>
      <c r="C43" s="130"/>
      <c r="D43" s="207">
        <v>3</v>
      </c>
      <c r="E43" s="207">
        <f>$C$39*3.63636363636364/$K$39</f>
        <v>2.9970029970029999</v>
      </c>
      <c r="F43" s="4"/>
      <c r="G43" s="4"/>
      <c r="H43" s="4"/>
      <c r="I43" s="4"/>
      <c r="J43" s="3"/>
      <c r="K43" s="2"/>
      <c r="L43" s="2"/>
      <c r="M43" s="2"/>
      <c r="N43" s="2"/>
      <c r="O43" s="2"/>
      <c r="P43" s="2"/>
    </row>
    <row r="44" spans="1:16" x14ac:dyDescent="0.25">
      <c r="A44" s="3"/>
      <c r="B44" s="3" t="s">
        <v>20</v>
      </c>
      <c r="C44" s="130"/>
      <c r="D44" s="207">
        <v>0.5</v>
      </c>
      <c r="E44" s="207">
        <v>0.5</v>
      </c>
      <c r="F44" s="4"/>
      <c r="G44" s="4"/>
      <c r="H44" s="4"/>
      <c r="I44" s="4"/>
      <c r="J44" s="3"/>
      <c r="K44" s="2"/>
      <c r="L44" s="2"/>
      <c r="M44" s="2"/>
      <c r="N44" s="2"/>
      <c r="O44" s="2"/>
      <c r="P44" s="2"/>
    </row>
    <row r="45" spans="1:16" x14ac:dyDescent="0.25">
      <c r="A45" s="3"/>
      <c r="B45" s="3" t="s">
        <v>160</v>
      </c>
      <c r="C45" s="130"/>
      <c r="D45" s="207">
        <v>5</v>
      </c>
      <c r="E45" s="207">
        <v>5</v>
      </c>
      <c r="F45" s="4"/>
      <c r="G45" s="4"/>
      <c r="H45" s="4"/>
      <c r="I45" s="4"/>
      <c r="J45" s="3"/>
      <c r="K45" s="2"/>
      <c r="L45" s="2"/>
      <c r="M45" s="2"/>
      <c r="N45" s="2"/>
      <c r="O45" s="2"/>
      <c r="P45" s="2"/>
    </row>
    <row r="46" spans="1:16" x14ac:dyDescent="0.25">
      <c r="A46" s="3"/>
      <c r="B46" s="3" t="s">
        <v>51</v>
      </c>
      <c r="C46" s="130"/>
      <c r="D46" s="76">
        <f>$C$39*1.35/K39</f>
        <v>1.1126373626373627</v>
      </c>
      <c r="E46" s="76">
        <f>$C$39*1/K39</f>
        <v>0.82417582417582413</v>
      </c>
      <c r="F46" s="4"/>
      <c r="G46" s="4"/>
      <c r="H46" s="4"/>
      <c r="I46" s="4"/>
      <c r="J46" s="3"/>
      <c r="K46" s="2"/>
      <c r="L46" s="2"/>
      <c r="M46" s="2"/>
      <c r="N46" s="2"/>
      <c r="O46" s="2"/>
      <c r="P46" s="2"/>
    </row>
    <row r="47" spans="1:16" ht="31.5" x14ac:dyDescent="0.25">
      <c r="A47" s="3"/>
      <c r="B47" s="62" t="s">
        <v>300</v>
      </c>
      <c r="C47" s="149">
        <v>60</v>
      </c>
      <c r="D47" s="150"/>
      <c r="E47" s="150"/>
      <c r="F47" s="46">
        <f>C47*10.68/K47</f>
        <v>9.154285714285713</v>
      </c>
      <c r="G47" s="46">
        <f>C47*11.72/K47</f>
        <v>10.045714285714286</v>
      </c>
      <c r="H47" s="151">
        <f>C47*5.74/K47</f>
        <v>4.9200000000000008</v>
      </c>
      <c r="I47" s="46">
        <f>C47*176.75/K47</f>
        <v>151.5</v>
      </c>
      <c r="J47" s="4" t="s">
        <v>304</v>
      </c>
      <c r="K47" s="2">
        <v>70</v>
      </c>
      <c r="L47" s="2"/>
      <c r="M47" s="2"/>
      <c r="N47" s="2"/>
      <c r="O47" s="2"/>
      <c r="P47" s="2"/>
    </row>
    <row r="48" spans="1:16" x14ac:dyDescent="0.25">
      <c r="A48" s="3"/>
      <c r="B48" s="216" t="s">
        <v>301</v>
      </c>
      <c r="C48" s="149"/>
      <c r="D48" s="337">
        <f>C47*66/K47</f>
        <v>56.571428571428569</v>
      </c>
      <c r="E48" s="337">
        <f>C47*60/K47</f>
        <v>51.428571428571431</v>
      </c>
      <c r="F48" s="46"/>
      <c r="G48" s="46"/>
      <c r="H48" s="46"/>
      <c r="I48" s="46"/>
      <c r="J48" s="4" t="s">
        <v>16</v>
      </c>
      <c r="K48" s="2"/>
      <c r="L48" s="2"/>
      <c r="M48" s="2"/>
      <c r="N48" s="2"/>
      <c r="O48" s="2"/>
      <c r="P48" s="2"/>
    </row>
    <row r="49" spans="1:16" x14ac:dyDescent="0.25">
      <c r="A49" s="3"/>
      <c r="B49" s="216" t="s">
        <v>28</v>
      </c>
      <c r="C49" s="149"/>
      <c r="D49" s="337">
        <f>$C$47*13/$K$47</f>
        <v>11.142857142857142</v>
      </c>
      <c r="E49" s="337">
        <f>$C$47*13/$K$47</f>
        <v>11.142857142857142</v>
      </c>
      <c r="F49" s="46"/>
      <c r="G49" s="46"/>
      <c r="H49" s="46"/>
      <c r="I49" s="46"/>
      <c r="J49" s="3"/>
      <c r="K49" s="2"/>
      <c r="L49" s="2"/>
      <c r="M49" s="2"/>
      <c r="N49" s="2"/>
      <c r="O49" s="2"/>
      <c r="P49" s="2"/>
    </row>
    <row r="50" spans="1:16" x14ac:dyDescent="0.25">
      <c r="A50" s="3"/>
      <c r="B50" s="216" t="s">
        <v>302</v>
      </c>
      <c r="C50" s="149"/>
      <c r="D50" s="337">
        <f>$C$47*16/$K$47</f>
        <v>13.714285714285714</v>
      </c>
      <c r="E50" s="337">
        <f>$C$47*16/$K$47</f>
        <v>13.714285714285714</v>
      </c>
      <c r="F50" s="46"/>
      <c r="G50" s="46"/>
      <c r="H50" s="46"/>
      <c r="I50" s="46"/>
      <c r="J50" s="3"/>
      <c r="K50" s="2"/>
      <c r="L50" s="2"/>
      <c r="M50" s="2"/>
      <c r="N50" s="2"/>
      <c r="O50" s="2"/>
      <c r="P50" s="2"/>
    </row>
    <row r="51" spans="1:16" x14ac:dyDescent="0.25">
      <c r="A51" s="3"/>
      <c r="B51" s="216" t="s">
        <v>303</v>
      </c>
      <c r="C51" s="149"/>
      <c r="D51" s="337">
        <f>$C$47*7.5/$K$47</f>
        <v>6.4285714285714288</v>
      </c>
      <c r="E51" s="337">
        <f>$C$47*7.5/$K$47</f>
        <v>6.4285714285714288</v>
      </c>
      <c r="F51" s="46"/>
      <c r="G51" s="46"/>
      <c r="H51" s="46"/>
      <c r="I51" s="46"/>
      <c r="J51" s="3"/>
      <c r="K51" s="2"/>
      <c r="L51" s="2"/>
      <c r="M51" s="2"/>
      <c r="N51" s="2"/>
      <c r="O51" s="2"/>
      <c r="P51" s="2"/>
    </row>
    <row r="52" spans="1:16" x14ac:dyDescent="0.25">
      <c r="A52" s="3"/>
      <c r="B52" s="216" t="s">
        <v>249</v>
      </c>
      <c r="C52" s="149"/>
      <c r="D52" s="337">
        <f>$C$47*5/$K$47</f>
        <v>4.2857142857142856</v>
      </c>
      <c r="E52" s="337">
        <f>$C$47*5/$K$47</f>
        <v>4.2857142857142856</v>
      </c>
      <c r="F52" s="46"/>
      <c r="G52" s="46"/>
      <c r="H52" s="46"/>
      <c r="I52" s="46"/>
      <c r="J52" s="3"/>
      <c r="K52" s="2"/>
      <c r="L52" s="2"/>
      <c r="M52" s="2"/>
      <c r="N52" s="2"/>
      <c r="O52" s="2"/>
      <c r="P52" s="2"/>
    </row>
    <row r="53" spans="1:16" x14ac:dyDescent="0.25">
      <c r="A53" s="3"/>
      <c r="B53" s="216" t="s">
        <v>20</v>
      </c>
      <c r="C53" s="149"/>
      <c r="D53" s="153">
        <v>0.3</v>
      </c>
      <c r="E53" s="153">
        <v>0.3</v>
      </c>
      <c r="F53" s="46"/>
      <c r="G53" s="46"/>
      <c r="H53" s="46"/>
      <c r="I53" s="46"/>
      <c r="J53" s="3"/>
      <c r="K53" s="2"/>
      <c r="L53" s="2"/>
      <c r="M53" s="2"/>
      <c r="N53" s="2"/>
      <c r="O53" s="2"/>
      <c r="P53" s="2"/>
    </row>
    <row r="54" spans="1:16" x14ac:dyDescent="0.25">
      <c r="A54" s="63"/>
      <c r="B54" s="163" t="s">
        <v>418</v>
      </c>
      <c r="C54" s="126">
        <v>120</v>
      </c>
      <c r="D54" s="122"/>
      <c r="E54" s="122"/>
      <c r="F54" s="64">
        <v>2.9</v>
      </c>
      <c r="G54" s="64">
        <v>6.8</v>
      </c>
      <c r="H54" s="64">
        <v>17.739999999999998</v>
      </c>
      <c r="I54" s="64">
        <v>143.74</v>
      </c>
      <c r="J54" s="275" t="s">
        <v>419</v>
      </c>
      <c r="K54" s="2">
        <v>150</v>
      </c>
      <c r="L54" s="2"/>
      <c r="M54" s="2"/>
      <c r="N54" s="2"/>
      <c r="O54" s="2"/>
      <c r="P54" s="2"/>
    </row>
    <row r="55" spans="1:16" x14ac:dyDescent="0.25">
      <c r="A55" s="63"/>
      <c r="B55" s="164" t="s">
        <v>47</v>
      </c>
      <c r="C55" s="126"/>
      <c r="D55" s="322">
        <v>51.6</v>
      </c>
      <c r="E55" s="122">
        <v>38.4</v>
      </c>
      <c r="F55" s="64"/>
      <c r="G55" s="64"/>
      <c r="H55" s="64"/>
      <c r="I55" s="64"/>
      <c r="J55" s="275" t="s">
        <v>16</v>
      </c>
      <c r="K55" s="2"/>
      <c r="L55" s="2"/>
      <c r="M55" s="2"/>
      <c r="N55" s="2"/>
      <c r="O55" s="2"/>
      <c r="P55" s="2"/>
    </row>
    <row r="56" spans="1:16" x14ac:dyDescent="0.25">
      <c r="A56" s="63"/>
      <c r="B56" s="164" t="s">
        <v>48</v>
      </c>
      <c r="C56" s="126"/>
      <c r="D56" s="122">
        <v>36</v>
      </c>
      <c r="E56" s="122">
        <v>29</v>
      </c>
      <c r="F56" s="64"/>
      <c r="G56" s="64"/>
      <c r="H56" s="64"/>
      <c r="I56" s="64"/>
      <c r="J56" s="275"/>
      <c r="K56" s="2"/>
      <c r="L56" s="2"/>
      <c r="M56" s="2"/>
      <c r="N56" s="2"/>
      <c r="O56" s="2"/>
      <c r="P56" s="2"/>
    </row>
    <row r="57" spans="1:16" x14ac:dyDescent="0.25">
      <c r="A57" s="63"/>
      <c r="B57" s="164" t="s">
        <v>157</v>
      </c>
      <c r="C57" s="122"/>
      <c r="D57" s="122">
        <v>42</v>
      </c>
      <c r="E57" s="122">
        <v>34</v>
      </c>
      <c r="F57" s="64"/>
      <c r="G57" s="64"/>
      <c r="H57" s="64"/>
      <c r="I57" s="64"/>
      <c r="J57" s="275"/>
      <c r="K57" s="2"/>
      <c r="L57" s="2"/>
      <c r="M57" s="2"/>
      <c r="N57" s="2"/>
      <c r="O57" s="2"/>
      <c r="P57" s="2"/>
    </row>
    <row r="58" spans="1:16" x14ac:dyDescent="0.25">
      <c r="A58" s="63"/>
      <c r="B58" s="164" t="s">
        <v>49</v>
      </c>
      <c r="C58" s="122"/>
      <c r="D58" s="122">
        <v>11.4</v>
      </c>
      <c r="E58" s="122">
        <v>9.6</v>
      </c>
      <c r="F58" s="64"/>
      <c r="G58" s="64"/>
      <c r="H58" s="64"/>
      <c r="I58" s="64"/>
      <c r="J58" s="275"/>
      <c r="K58" s="2"/>
      <c r="L58" s="2"/>
      <c r="M58" s="2"/>
      <c r="N58" s="2"/>
      <c r="O58" s="2"/>
      <c r="P58" s="2"/>
    </row>
    <row r="59" spans="1:16" x14ac:dyDescent="0.25">
      <c r="A59" s="63"/>
      <c r="B59" s="66" t="s">
        <v>50</v>
      </c>
      <c r="C59" s="122"/>
      <c r="D59" s="127">
        <v>4.8</v>
      </c>
      <c r="E59" s="127">
        <v>4.8</v>
      </c>
      <c r="F59" s="66"/>
      <c r="G59" s="66"/>
      <c r="H59" s="66"/>
      <c r="I59" s="66"/>
      <c r="J59" s="275"/>
      <c r="K59" s="2"/>
      <c r="L59" s="2"/>
      <c r="M59" s="2"/>
      <c r="N59" s="2"/>
      <c r="O59" s="2"/>
      <c r="P59" s="2"/>
    </row>
    <row r="60" spans="1:16" x14ac:dyDescent="0.25">
      <c r="A60" s="63"/>
      <c r="B60" s="66" t="s">
        <v>20</v>
      </c>
      <c r="C60" s="122"/>
      <c r="D60" s="122">
        <v>0.3</v>
      </c>
      <c r="E60" s="122">
        <v>0.3</v>
      </c>
      <c r="F60" s="66"/>
      <c r="G60" s="66"/>
      <c r="H60" s="66"/>
      <c r="I60" s="66"/>
      <c r="J60" s="275"/>
      <c r="K60" s="2"/>
      <c r="L60" s="2"/>
      <c r="M60" s="2"/>
      <c r="N60" s="2"/>
      <c r="O60" s="2"/>
      <c r="P60" s="2"/>
    </row>
    <row r="61" spans="1:16" x14ac:dyDescent="0.25">
      <c r="A61" s="63"/>
      <c r="B61" s="66" t="s">
        <v>51</v>
      </c>
      <c r="C61" s="122"/>
      <c r="D61" s="122">
        <f>$C$54*2.7/K54</f>
        <v>2.16</v>
      </c>
      <c r="E61" s="127">
        <f>C54*2/K54</f>
        <v>1.6</v>
      </c>
      <c r="F61" s="66"/>
      <c r="G61" s="66"/>
      <c r="H61" s="66"/>
      <c r="I61" s="66"/>
      <c r="J61" s="275"/>
      <c r="K61" s="2"/>
      <c r="L61" s="2"/>
      <c r="M61" s="2"/>
      <c r="N61" s="2"/>
      <c r="O61" s="2"/>
      <c r="P61" s="2"/>
    </row>
    <row r="62" spans="1:16" x14ac:dyDescent="0.25">
      <c r="A62" s="63"/>
      <c r="B62" s="46" t="s">
        <v>423</v>
      </c>
      <c r="C62" s="122"/>
      <c r="D62" s="122" t="s">
        <v>173</v>
      </c>
      <c r="E62" s="126">
        <f>C54*45/K54</f>
        <v>36</v>
      </c>
      <c r="F62" s="66"/>
      <c r="G62" s="66"/>
      <c r="H62" s="66"/>
      <c r="I62" s="66"/>
      <c r="J62" s="275"/>
      <c r="K62" s="2"/>
      <c r="L62" s="2"/>
      <c r="M62" s="2"/>
      <c r="N62" s="2"/>
      <c r="O62" s="2"/>
      <c r="P62" s="2"/>
    </row>
    <row r="63" spans="1:16" x14ac:dyDescent="0.25">
      <c r="A63" s="63"/>
      <c r="B63" s="66" t="s">
        <v>27</v>
      </c>
      <c r="C63" s="122"/>
      <c r="D63" s="122">
        <v>27</v>
      </c>
      <c r="E63" s="122">
        <v>27</v>
      </c>
      <c r="F63" s="66"/>
      <c r="G63" s="66"/>
      <c r="H63" s="66"/>
      <c r="I63" s="66"/>
      <c r="J63" s="12"/>
      <c r="K63" s="2"/>
      <c r="L63" s="2"/>
      <c r="M63" s="2"/>
      <c r="N63" s="2"/>
      <c r="O63" s="2"/>
      <c r="P63" s="2"/>
    </row>
    <row r="64" spans="1:16" x14ac:dyDescent="0.25">
      <c r="A64" s="63"/>
      <c r="B64" s="66" t="s">
        <v>160</v>
      </c>
      <c r="C64" s="122"/>
      <c r="D64" s="122">
        <v>9</v>
      </c>
      <c r="E64" s="122">
        <v>9</v>
      </c>
      <c r="F64" s="66"/>
      <c r="G64" s="66"/>
      <c r="H64" s="66"/>
      <c r="I64" s="66"/>
      <c r="J64" s="12"/>
      <c r="K64" s="2"/>
      <c r="L64" s="2"/>
      <c r="M64" s="2"/>
      <c r="N64" s="2"/>
      <c r="O64" s="2"/>
      <c r="P64" s="2"/>
    </row>
    <row r="65" spans="1:16" x14ac:dyDescent="0.25">
      <c r="A65" s="63"/>
      <c r="B65" s="66" t="s">
        <v>56</v>
      </c>
      <c r="C65" s="122"/>
      <c r="D65" s="122">
        <v>2.7</v>
      </c>
      <c r="E65" s="122">
        <v>2.7</v>
      </c>
      <c r="F65" s="66"/>
      <c r="G65" s="66"/>
      <c r="H65" s="66"/>
      <c r="I65" s="66"/>
      <c r="J65" s="12"/>
      <c r="K65" s="2"/>
      <c r="L65" s="2"/>
      <c r="M65" s="2"/>
      <c r="N65" s="2"/>
      <c r="O65" s="2"/>
      <c r="P65" s="2"/>
    </row>
    <row r="66" spans="1:16" x14ac:dyDescent="0.25">
      <c r="A66" s="63"/>
      <c r="B66" s="66" t="s">
        <v>20</v>
      </c>
      <c r="C66" s="122"/>
      <c r="D66" s="122">
        <v>0.1</v>
      </c>
      <c r="E66" s="122">
        <v>0.1</v>
      </c>
      <c r="F66" s="66"/>
      <c r="G66" s="66"/>
      <c r="H66" s="66"/>
      <c r="I66" s="66"/>
      <c r="J66" s="12"/>
      <c r="K66" s="2"/>
      <c r="L66" s="2"/>
      <c r="M66" s="2"/>
      <c r="N66" s="2"/>
      <c r="O66" s="2"/>
      <c r="P66" s="2"/>
    </row>
    <row r="67" spans="1:16" x14ac:dyDescent="0.25">
      <c r="A67" s="63"/>
      <c r="B67" s="66" t="s">
        <v>54</v>
      </c>
      <c r="C67" s="122"/>
      <c r="D67" s="127">
        <f>$C$54*0.02/$K$54</f>
        <v>1.6E-2</v>
      </c>
      <c r="E67" s="127">
        <f>$C$54*0.02/$K$54</f>
        <v>1.6E-2</v>
      </c>
      <c r="F67" s="66"/>
      <c r="G67" s="66"/>
      <c r="H67" s="66"/>
      <c r="I67" s="66"/>
      <c r="J67" s="12"/>
      <c r="K67" s="2"/>
      <c r="L67" s="2"/>
      <c r="M67" s="2"/>
      <c r="N67" s="2"/>
      <c r="O67" s="2"/>
      <c r="P67" s="2"/>
    </row>
    <row r="68" spans="1:16" x14ac:dyDescent="0.25">
      <c r="A68" s="3"/>
      <c r="B68" s="250" t="s">
        <v>439</v>
      </c>
      <c r="C68" s="175">
        <v>150</v>
      </c>
      <c r="D68" s="126"/>
      <c r="E68" s="126"/>
      <c r="F68" s="46">
        <v>5.1999999999999998E-2</v>
      </c>
      <c r="G68" s="46">
        <v>7.0000000000000001E-3</v>
      </c>
      <c r="H68" s="46">
        <v>11.47</v>
      </c>
      <c r="I68" s="46">
        <v>46.21</v>
      </c>
      <c r="J68" s="4" t="s">
        <v>445</v>
      </c>
      <c r="K68" s="251">
        <v>180</v>
      </c>
      <c r="L68" s="67"/>
      <c r="M68" s="67"/>
    </row>
    <row r="69" spans="1:16" x14ac:dyDescent="0.25">
      <c r="A69" s="3"/>
      <c r="B69" s="66" t="s">
        <v>187</v>
      </c>
      <c r="C69" s="66"/>
      <c r="D69" s="122">
        <v>0.75</v>
      </c>
      <c r="E69" s="122">
        <v>0.75</v>
      </c>
      <c r="F69" s="4"/>
      <c r="G69" s="4"/>
      <c r="H69" s="4"/>
      <c r="I69" s="4"/>
      <c r="J69" s="4"/>
      <c r="K69" s="2"/>
      <c r="L69" s="2"/>
      <c r="M69" s="2"/>
    </row>
    <row r="70" spans="1:16" x14ac:dyDescent="0.25">
      <c r="A70" s="3"/>
      <c r="B70" s="66" t="s">
        <v>19</v>
      </c>
      <c r="C70" s="66"/>
      <c r="D70" s="122">
        <v>5.25</v>
      </c>
      <c r="E70" s="122">
        <v>5.25</v>
      </c>
      <c r="F70" s="4"/>
      <c r="G70" s="4"/>
      <c r="H70" s="4"/>
      <c r="I70" s="4"/>
      <c r="J70" s="4"/>
      <c r="K70" s="2"/>
      <c r="L70" s="2"/>
      <c r="M70" s="2"/>
    </row>
    <row r="71" spans="1:16" x14ac:dyDescent="0.25">
      <c r="A71" s="3"/>
      <c r="B71" s="66" t="s">
        <v>444</v>
      </c>
      <c r="C71" s="66"/>
      <c r="D71" s="122">
        <v>7.2</v>
      </c>
      <c r="E71" s="122">
        <v>6.3</v>
      </c>
      <c r="F71" s="4"/>
      <c r="G71" s="4"/>
      <c r="H71" s="4"/>
      <c r="I71" s="4"/>
      <c r="J71" s="4"/>
      <c r="K71" s="2"/>
      <c r="L71" s="2"/>
      <c r="M71" s="2"/>
    </row>
    <row r="72" spans="1:16" x14ac:dyDescent="0.25">
      <c r="A72" s="3"/>
      <c r="B72" s="66" t="s">
        <v>27</v>
      </c>
      <c r="C72" s="122"/>
      <c r="D72" s="122">
        <v>150</v>
      </c>
      <c r="E72" s="122">
        <v>150</v>
      </c>
      <c r="F72" s="4"/>
      <c r="G72" s="4"/>
      <c r="H72" s="4"/>
      <c r="I72" s="4"/>
      <c r="J72" s="3"/>
      <c r="K72" s="2"/>
      <c r="L72" s="2"/>
      <c r="M72" s="2"/>
    </row>
    <row r="73" spans="1:16" x14ac:dyDescent="0.25">
      <c r="A73" s="3"/>
      <c r="B73" s="97" t="s">
        <v>28</v>
      </c>
      <c r="C73" s="129">
        <v>25</v>
      </c>
      <c r="D73" s="130">
        <f>C73</f>
        <v>25</v>
      </c>
      <c r="E73" s="130">
        <f>C73</f>
        <v>25</v>
      </c>
      <c r="F73" s="126">
        <f>C73*1.52/20</f>
        <v>1.9</v>
      </c>
      <c r="G73" s="126">
        <f>C73*0.18/K73</f>
        <v>0.22500000000000001</v>
      </c>
      <c r="H73" s="126">
        <f>C73*9.34/K73</f>
        <v>11.675000000000001</v>
      </c>
      <c r="I73" s="126">
        <f>C73*46.2/K73</f>
        <v>57.75</v>
      </c>
      <c r="J73" s="3"/>
      <c r="K73" s="72">
        <v>20</v>
      </c>
      <c r="L73" s="2"/>
      <c r="M73" s="2"/>
      <c r="N73" s="2"/>
      <c r="O73" s="2"/>
      <c r="P73" s="2"/>
    </row>
    <row r="74" spans="1:16" x14ac:dyDescent="0.25">
      <c r="A74" s="3"/>
      <c r="B74" s="125" t="s">
        <v>84</v>
      </c>
      <c r="C74" s="129">
        <v>10</v>
      </c>
      <c r="D74" s="130">
        <f>C74</f>
        <v>10</v>
      </c>
      <c r="E74" s="130">
        <f>C74</f>
        <v>10</v>
      </c>
      <c r="F74" s="129">
        <f>C74*1.54/K74</f>
        <v>0.77</v>
      </c>
      <c r="G74" s="129">
        <f>C74*0.28/K74</f>
        <v>0.14000000000000001</v>
      </c>
      <c r="H74" s="129">
        <f>C74*7.52/K74</f>
        <v>3.7599999999999993</v>
      </c>
      <c r="I74" s="129">
        <f>C74*40.2/K74</f>
        <v>20.100000000000001</v>
      </c>
      <c r="J74" s="3"/>
      <c r="K74" s="72">
        <v>20</v>
      </c>
      <c r="L74" s="2"/>
      <c r="M74" s="2"/>
      <c r="N74" s="2"/>
      <c r="O74" s="2"/>
      <c r="P74" s="2"/>
    </row>
    <row r="75" spans="1:16" x14ac:dyDescent="0.25">
      <c r="A75" s="5" t="s">
        <v>69</v>
      </c>
      <c r="B75" s="6"/>
      <c r="C75" s="8">
        <f>SUM(C26:C74)</f>
        <v>720</v>
      </c>
      <c r="D75" s="6"/>
      <c r="E75" s="6"/>
      <c r="F75" s="165">
        <f>SUM(F26:F74)</f>
        <v>19.476285714285709</v>
      </c>
      <c r="G75" s="165">
        <f>SUM(G26:G74)</f>
        <v>26.73771428571429</v>
      </c>
      <c r="H75" s="165">
        <f>SUM(H26:H74)</f>
        <v>60.751666666666658</v>
      </c>
      <c r="I75" s="165">
        <f>SUM(I26:I74)</f>
        <v>561.53666666666675</v>
      </c>
      <c r="J75" s="6"/>
      <c r="K75" s="2"/>
      <c r="L75" s="2"/>
      <c r="M75" s="2"/>
      <c r="N75" s="2"/>
      <c r="O75" s="2"/>
      <c r="P75" s="2"/>
    </row>
    <row r="76" spans="1:16" ht="31.5" x14ac:dyDescent="0.25">
      <c r="A76" s="166" t="s">
        <v>70</v>
      </c>
      <c r="B76" s="210" t="s">
        <v>373</v>
      </c>
      <c r="C76" s="168">
        <v>25</v>
      </c>
      <c r="D76" s="169">
        <f>C76</f>
        <v>25</v>
      </c>
      <c r="E76" s="169">
        <f>C76</f>
        <v>25</v>
      </c>
      <c r="F76" s="170">
        <f>C76*3.75/K76</f>
        <v>1.875</v>
      </c>
      <c r="G76" s="170">
        <f>C76*5.9/K76</f>
        <v>2.95</v>
      </c>
      <c r="H76" s="170">
        <f>C76*37.2/K76</f>
        <v>18.600000000000001</v>
      </c>
      <c r="I76" s="170">
        <f>C76*218/K76</f>
        <v>109</v>
      </c>
      <c r="J76" s="4"/>
      <c r="K76" s="2">
        <v>50</v>
      </c>
      <c r="L76" s="2"/>
      <c r="M76" s="2"/>
      <c r="N76" s="2"/>
      <c r="O76" s="2"/>
      <c r="P76" s="2"/>
    </row>
    <row r="77" spans="1:16" ht="33.75" customHeight="1" x14ac:dyDescent="0.25">
      <c r="A77" s="166"/>
      <c r="B77" s="172" t="s">
        <v>151</v>
      </c>
      <c r="C77" s="173">
        <v>180</v>
      </c>
      <c r="D77" s="174">
        <v>189</v>
      </c>
      <c r="E77" s="174">
        <f>C77*200/K77</f>
        <v>180</v>
      </c>
      <c r="F77" s="175">
        <v>5.0199999999999996</v>
      </c>
      <c r="G77" s="175">
        <v>5.74</v>
      </c>
      <c r="H77" s="175">
        <v>8.44</v>
      </c>
      <c r="I77" s="175">
        <v>105.57</v>
      </c>
      <c r="J77" s="166" t="s">
        <v>71</v>
      </c>
      <c r="K77" s="72">
        <v>200</v>
      </c>
      <c r="L77" s="2"/>
      <c r="M77" s="2"/>
      <c r="N77" s="2"/>
      <c r="O77" s="2"/>
      <c r="P77" s="2"/>
    </row>
    <row r="78" spans="1:16" x14ac:dyDescent="0.25">
      <c r="A78" s="5" t="s">
        <v>72</v>
      </c>
      <c r="B78" s="6"/>
      <c r="C78" s="8">
        <f>SUM(C76:C77)</f>
        <v>205</v>
      </c>
      <c r="D78" s="6"/>
      <c r="E78" s="6"/>
      <c r="F78" s="165">
        <f>SUM(F76:F77)</f>
        <v>6.8949999999999996</v>
      </c>
      <c r="G78" s="165">
        <f>SUM(G76:G77)</f>
        <v>8.6900000000000013</v>
      </c>
      <c r="H78" s="165">
        <f>SUM(H76:H77)</f>
        <v>27.04</v>
      </c>
      <c r="I78" s="165">
        <f>SUM(I76:I77)</f>
        <v>214.57</v>
      </c>
      <c r="J78" s="6"/>
      <c r="K78" s="2"/>
      <c r="L78" s="2"/>
      <c r="M78" s="2"/>
      <c r="N78" s="2"/>
      <c r="O78" s="2"/>
      <c r="P78" s="2"/>
    </row>
    <row r="79" spans="1:16" x14ac:dyDescent="0.25">
      <c r="A79" s="166" t="s">
        <v>73</v>
      </c>
      <c r="B79" s="97" t="s">
        <v>366</v>
      </c>
      <c r="C79" s="126">
        <v>40</v>
      </c>
      <c r="D79" s="66"/>
      <c r="E79" s="66"/>
      <c r="F79" s="170">
        <f>C79*1.14/K79</f>
        <v>0.7599999999999999</v>
      </c>
      <c r="G79" s="170">
        <f>C79*0.96/K79</f>
        <v>0.64</v>
      </c>
      <c r="H79" s="170">
        <f>C79*10.26/K79</f>
        <v>6.84</v>
      </c>
      <c r="I79" s="170">
        <f>C79*54.6/K79</f>
        <v>36.4</v>
      </c>
      <c r="J79" s="46" t="s">
        <v>368</v>
      </c>
      <c r="K79" s="2">
        <v>60</v>
      </c>
      <c r="L79" s="2"/>
      <c r="M79" s="2"/>
      <c r="N79" s="2"/>
      <c r="O79" s="2"/>
      <c r="P79" s="2"/>
    </row>
    <row r="80" spans="1:16" x14ac:dyDescent="0.25">
      <c r="A80" s="46"/>
      <c r="B80" s="66" t="s">
        <v>367</v>
      </c>
      <c r="C80" s="126"/>
      <c r="D80" s="122">
        <v>66.7</v>
      </c>
      <c r="E80" s="122">
        <f>C79</f>
        <v>40</v>
      </c>
      <c r="F80" s="170"/>
      <c r="G80" s="170"/>
      <c r="H80" s="170"/>
      <c r="I80" s="170"/>
      <c r="J80" s="46" t="s">
        <v>236</v>
      </c>
      <c r="K80" s="2"/>
      <c r="L80" s="2"/>
      <c r="M80" s="2"/>
      <c r="N80" s="2"/>
      <c r="O80" s="2"/>
      <c r="P80" s="2"/>
    </row>
    <row r="81" spans="1:16" x14ac:dyDescent="0.25">
      <c r="A81" s="338"/>
      <c r="B81" s="97" t="s">
        <v>312</v>
      </c>
      <c r="C81" s="126">
        <v>170</v>
      </c>
      <c r="D81" s="46"/>
      <c r="E81" s="46"/>
      <c r="F81" s="170">
        <v>16.13</v>
      </c>
      <c r="G81" s="170">
        <v>9.74</v>
      </c>
      <c r="H81" s="170">
        <v>39.96</v>
      </c>
      <c r="I81" s="170">
        <v>312.77999999999997</v>
      </c>
      <c r="J81" s="46" t="s">
        <v>398</v>
      </c>
      <c r="K81" s="2">
        <v>220</v>
      </c>
      <c r="L81" s="2"/>
      <c r="M81" s="2"/>
      <c r="N81" s="2"/>
      <c r="O81" s="2"/>
      <c r="P81" s="2"/>
    </row>
    <row r="82" spans="1:16" ht="31.5" x14ac:dyDescent="0.25">
      <c r="A82" s="46"/>
      <c r="B82" s="291" t="s">
        <v>305</v>
      </c>
      <c r="C82" s="126"/>
      <c r="D82" s="122">
        <f>E83*124.6/C83</f>
        <v>106.8</v>
      </c>
      <c r="E82" s="322">
        <f>E83*103/C83</f>
        <v>88.285714285714292</v>
      </c>
      <c r="F82" s="105"/>
      <c r="G82" s="105"/>
      <c r="H82" s="105"/>
      <c r="I82" s="105"/>
      <c r="J82" s="46" t="s">
        <v>42</v>
      </c>
      <c r="K82" s="2"/>
      <c r="L82" s="2"/>
      <c r="M82" s="2"/>
      <c r="N82" s="2"/>
      <c r="O82" s="2"/>
      <c r="P82" s="2"/>
    </row>
    <row r="83" spans="1:16" ht="31.5" x14ac:dyDescent="0.25">
      <c r="A83" s="46"/>
      <c r="B83" s="339" t="s">
        <v>306</v>
      </c>
      <c r="C83" s="340">
        <v>70</v>
      </c>
      <c r="D83" s="122" t="s">
        <v>173</v>
      </c>
      <c r="E83" s="122">
        <v>60</v>
      </c>
      <c r="F83" s="105"/>
      <c r="G83" s="105"/>
      <c r="H83" s="105"/>
      <c r="I83" s="105"/>
      <c r="J83" s="46"/>
      <c r="K83" s="2"/>
      <c r="L83" s="2"/>
      <c r="M83" s="2"/>
      <c r="N83" s="2"/>
      <c r="O83" s="2"/>
      <c r="P83" s="2"/>
    </row>
    <row r="84" spans="1:16" x14ac:dyDescent="0.25">
      <c r="A84" s="46"/>
      <c r="B84" s="341" t="s">
        <v>114</v>
      </c>
      <c r="C84" s="126"/>
      <c r="D84" s="122">
        <f>E85*51/C85</f>
        <v>37.4</v>
      </c>
      <c r="E84" s="122">
        <f>E85*51/C85</f>
        <v>37.4</v>
      </c>
      <c r="F84" s="105"/>
      <c r="G84" s="105"/>
      <c r="H84" s="105"/>
      <c r="I84" s="105"/>
      <c r="J84" s="46"/>
      <c r="K84" s="2"/>
      <c r="L84" s="2"/>
      <c r="M84" s="2"/>
      <c r="N84" s="2"/>
      <c r="O84" s="2"/>
      <c r="P84" s="2"/>
    </row>
    <row r="85" spans="1:16" x14ac:dyDescent="0.25">
      <c r="A85" s="46"/>
      <c r="B85" s="342" t="s">
        <v>307</v>
      </c>
      <c r="C85" s="340">
        <v>150</v>
      </c>
      <c r="D85" s="122" t="s">
        <v>173</v>
      </c>
      <c r="E85" s="122">
        <v>110</v>
      </c>
      <c r="F85" s="105"/>
      <c r="G85" s="105"/>
      <c r="H85" s="105"/>
      <c r="I85" s="105"/>
      <c r="J85" s="46"/>
      <c r="K85" s="2"/>
      <c r="L85" s="2"/>
      <c r="M85" s="2"/>
      <c r="N85" s="2"/>
      <c r="O85" s="2"/>
      <c r="P85" s="2"/>
    </row>
    <row r="86" spans="1:16" x14ac:dyDescent="0.25">
      <c r="A86" s="46"/>
      <c r="B86" s="291" t="s">
        <v>308</v>
      </c>
      <c r="C86" s="126"/>
      <c r="D86" s="127">
        <f>C81*52/K81</f>
        <v>40.18181818181818</v>
      </c>
      <c r="E86" s="127">
        <f>C81*44/K81</f>
        <v>34</v>
      </c>
      <c r="F86" s="105"/>
      <c r="G86" s="105"/>
      <c r="H86" s="105"/>
      <c r="I86" s="105"/>
      <c r="J86" s="46"/>
      <c r="K86" s="2"/>
      <c r="L86" s="2"/>
      <c r="M86" s="2"/>
      <c r="N86" s="2"/>
      <c r="O86" s="2"/>
      <c r="P86" s="2"/>
    </row>
    <row r="87" spans="1:16" ht="31.5" x14ac:dyDescent="0.25">
      <c r="A87" s="46"/>
      <c r="B87" s="291" t="s">
        <v>60</v>
      </c>
      <c r="C87" s="126"/>
      <c r="D87" s="127">
        <f>$C$81*5/$K$81</f>
        <v>3.8636363636363638</v>
      </c>
      <c r="E87" s="127">
        <f>$C$81*5/$K$81</f>
        <v>3.8636363636363638</v>
      </c>
      <c r="F87" s="105"/>
      <c r="G87" s="105"/>
      <c r="H87" s="105"/>
      <c r="I87" s="105"/>
      <c r="J87" s="46"/>
      <c r="K87" s="2"/>
      <c r="L87" s="2"/>
      <c r="M87" s="2"/>
      <c r="N87" s="2"/>
      <c r="O87" s="2"/>
      <c r="P87" s="2"/>
    </row>
    <row r="88" spans="1:16" ht="31.5" x14ac:dyDescent="0.25">
      <c r="A88" s="46"/>
      <c r="B88" s="339" t="s">
        <v>309</v>
      </c>
      <c r="C88" s="126"/>
      <c r="D88" s="122" t="s">
        <v>173</v>
      </c>
      <c r="E88" s="122">
        <f>C81*22/K81</f>
        <v>17</v>
      </c>
      <c r="F88" s="105"/>
      <c r="G88" s="105"/>
      <c r="H88" s="105"/>
      <c r="I88" s="105"/>
      <c r="J88" s="46"/>
      <c r="K88" s="2"/>
      <c r="L88" s="2"/>
      <c r="M88" s="2"/>
      <c r="N88" s="2"/>
      <c r="O88" s="2"/>
      <c r="P88" s="2"/>
    </row>
    <row r="89" spans="1:16" ht="31.5" x14ac:dyDescent="0.25">
      <c r="A89" s="46"/>
      <c r="B89" s="291" t="s">
        <v>60</v>
      </c>
      <c r="C89" s="126"/>
      <c r="D89" s="127">
        <v>2.2999999999999998</v>
      </c>
      <c r="E89" s="127">
        <v>2.2999999999999998</v>
      </c>
      <c r="F89" s="105"/>
      <c r="G89" s="105"/>
      <c r="H89" s="105"/>
      <c r="I89" s="105"/>
      <c r="J89" s="46"/>
      <c r="K89" s="2"/>
      <c r="L89" s="2"/>
      <c r="M89" s="2"/>
      <c r="N89" s="2"/>
      <c r="O89" s="2"/>
      <c r="P89" s="2"/>
    </row>
    <row r="90" spans="1:16" x14ac:dyDescent="0.25">
      <c r="A90" s="46"/>
      <c r="B90" s="341" t="s">
        <v>106</v>
      </c>
      <c r="C90" s="126"/>
      <c r="D90" s="122" t="s">
        <v>374</v>
      </c>
      <c r="E90" s="127">
        <f>$C$81*8/$K$81</f>
        <v>6.1818181818181817</v>
      </c>
      <c r="F90" s="105"/>
      <c r="G90" s="105"/>
      <c r="H90" s="105"/>
      <c r="I90" s="105"/>
      <c r="J90" s="46"/>
      <c r="K90" s="2"/>
      <c r="L90" s="2"/>
      <c r="M90" s="2"/>
      <c r="N90" s="2"/>
      <c r="O90" s="2"/>
      <c r="P90" s="2"/>
    </row>
    <row r="91" spans="1:16" ht="31.5" x14ac:dyDescent="0.25">
      <c r="A91" s="46"/>
      <c r="B91" s="291" t="s">
        <v>310</v>
      </c>
      <c r="C91" s="126"/>
      <c r="D91" s="127">
        <f>$C$81*5/$K$81</f>
        <v>3.8636363636363638</v>
      </c>
      <c r="E91" s="127">
        <f>$C$81*5/$K$81</f>
        <v>3.8636363636363638</v>
      </c>
      <c r="F91" s="105"/>
      <c r="G91" s="105"/>
      <c r="H91" s="105"/>
      <c r="I91" s="105"/>
      <c r="J91" s="66"/>
      <c r="K91" s="2"/>
      <c r="L91" s="2"/>
      <c r="M91" s="2"/>
      <c r="N91" s="2"/>
      <c r="O91" s="2"/>
      <c r="P91" s="2"/>
    </row>
    <row r="92" spans="1:16" ht="31.5" x14ac:dyDescent="0.25">
      <c r="A92" s="46"/>
      <c r="B92" s="339" t="s">
        <v>311</v>
      </c>
      <c r="C92" s="126"/>
      <c r="D92" s="122" t="s">
        <v>173</v>
      </c>
      <c r="E92" s="127">
        <f>$C$81*258/K81</f>
        <v>199.36363636363637</v>
      </c>
      <c r="F92" s="105"/>
      <c r="G92" s="105"/>
      <c r="H92" s="105"/>
      <c r="I92" s="105"/>
      <c r="J92" s="66"/>
      <c r="K92" s="2"/>
      <c r="L92" s="2"/>
      <c r="M92" s="2"/>
      <c r="N92" s="2"/>
      <c r="O92" s="2"/>
      <c r="P92" s="2"/>
    </row>
    <row r="93" spans="1:16" x14ac:dyDescent="0.25">
      <c r="A93" s="46"/>
      <c r="B93" s="66" t="s">
        <v>20</v>
      </c>
      <c r="C93" s="126"/>
      <c r="D93" s="122">
        <v>0.7</v>
      </c>
      <c r="E93" s="122">
        <v>0.7</v>
      </c>
      <c r="F93" s="105"/>
      <c r="G93" s="105"/>
      <c r="H93" s="105"/>
      <c r="I93" s="105"/>
      <c r="J93" s="343"/>
      <c r="K93" s="2"/>
      <c r="L93" s="2"/>
      <c r="M93" s="2"/>
      <c r="N93" s="2"/>
      <c r="O93" s="2"/>
      <c r="P93" s="2"/>
    </row>
    <row r="94" spans="1:16" ht="31.5" x14ac:dyDescent="0.25">
      <c r="A94" s="3"/>
      <c r="B94" s="15" t="s">
        <v>224</v>
      </c>
      <c r="C94" s="129">
        <v>150</v>
      </c>
      <c r="D94" s="130"/>
      <c r="E94" s="122"/>
      <c r="F94" s="46">
        <v>0.09</v>
      </c>
      <c r="G94" s="46">
        <v>0</v>
      </c>
      <c r="H94" s="46">
        <v>16.96</v>
      </c>
      <c r="I94" s="46">
        <v>66.180000000000007</v>
      </c>
      <c r="J94" s="275"/>
      <c r="K94" s="2"/>
      <c r="L94" s="2"/>
      <c r="M94" s="2"/>
    </row>
    <row r="95" spans="1:16" x14ac:dyDescent="0.25">
      <c r="A95" s="3"/>
      <c r="B95" s="3" t="s">
        <v>225</v>
      </c>
      <c r="C95" s="130"/>
      <c r="D95" s="130">
        <v>18.75</v>
      </c>
      <c r="E95" s="130">
        <v>18.75</v>
      </c>
      <c r="F95" s="4"/>
      <c r="G95" s="4"/>
      <c r="H95" s="4"/>
      <c r="I95" s="4"/>
      <c r="J95" s="275"/>
      <c r="K95" s="2"/>
      <c r="L95" s="2"/>
      <c r="M95" s="2"/>
    </row>
    <row r="96" spans="1:16" x14ac:dyDescent="0.25">
      <c r="A96" s="3"/>
      <c r="B96" s="3" t="s">
        <v>197</v>
      </c>
      <c r="C96" s="130"/>
      <c r="D96" s="130">
        <v>138.75</v>
      </c>
      <c r="E96" s="130">
        <v>138.75</v>
      </c>
      <c r="F96" s="4"/>
      <c r="G96" s="4"/>
      <c r="H96" s="4"/>
      <c r="I96" s="4"/>
      <c r="J96" s="3"/>
      <c r="K96" s="2"/>
      <c r="L96" s="2"/>
      <c r="M96" s="2"/>
    </row>
    <row r="97" spans="1:16" x14ac:dyDescent="0.25">
      <c r="A97" s="2"/>
      <c r="B97" s="97" t="s">
        <v>28</v>
      </c>
      <c r="C97" s="129">
        <v>30</v>
      </c>
      <c r="D97" s="130">
        <f>C97</f>
        <v>30</v>
      </c>
      <c r="E97" s="130">
        <f>C97</f>
        <v>30</v>
      </c>
      <c r="F97" s="126">
        <f>C97*1.52/20</f>
        <v>2.2800000000000002</v>
      </c>
      <c r="G97" s="126">
        <f>C97*0.18/K97</f>
        <v>0.26999999999999996</v>
      </c>
      <c r="H97" s="126">
        <f>C97*9.34/K97</f>
        <v>14.01</v>
      </c>
      <c r="I97" s="126">
        <f>C97*46.2/K97</f>
        <v>69.3</v>
      </c>
      <c r="J97" s="3"/>
      <c r="K97" s="72">
        <v>20</v>
      </c>
      <c r="L97" s="2"/>
      <c r="M97" s="2"/>
      <c r="N97" s="2"/>
      <c r="O97" s="2"/>
      <c r="P97" s="2"/>
    </row>
    <row r="98" spans="1:16" x14ac:dyDescent="0.25">
      <c r="A98" s="3"/>
      <c r="B98" s="125" t="s">
        <v>84</v>
      </c>
      <c r="C98" s="129">
        <v>10</v>
      </c>
      <c r="D98" s="80">
        <f>C98</f>
        <v>10</v>
      </c>
      <c r="E98" s="80">
        <f>C98</f>
        <v>10</v>
      </c>
      <c r="F98" s="129">
        <f>C98*1.54/K98</f>
        <v>0.77</v>
      </c>
      <c r="G98" s="129">
        <f>C98*0.28/K98</f>
        <v>0.14000000000000001</v>
      </c>
      <c r="H98" s="129">
        <f>C98*7.52/K98</f>
        <v>3.7599999999999993</v>
      </c>
      <c r="I98" s="129">
        <f>C98*40.2/K98</f>
        <v>20.100000000000001</v>
      </c>
      <c r="J98" s="3"/>
      <c r="K98" s="72">
        <v>20</v>
      </c>
      <c r="L98" s="2"/>
      <c r="M98" s="2"/>
      <c r="N98" s="2"/>
      <c r="O98" s="2"/>
      <c r="P98" s="2"/>
    </row>
    <row r="99" spans="1:16" x14ac:dyDescent="0.25">
      <c r="A99" s="5" t="s">
        <v>81</v>
      </c>
      <c r="B99" s="5"/>
      <c r="C99" s="8">
        <f>C79+C81+C94+C97+C98</f>
        <v>400</v>
      </c>
      <c r="D99" s="5"/>
      <c r="E99" s="5"/>
      <c r="F99" s="225">
        <f>SUM(F79:F98)</f>
        <v>20.03</v>
      </c>
      <c r="G99" s="225">
        <f>SUM(G79:G98)</f>
        <v>10.790000000000001</v>
      </c>
      <c r="H99" s="225">
        <f>SUM(H79:H98)</f>
        <v>81.53</v>
      </c>
      <c r="I99" s="225">
        <f>SUM(I79:I98)</f>
        <v>504.76</v>
      </c>
      <c r="J99" s="5"/>
      <c r="K99" s="2"/>
      <c r="L99" s="2"/>
      <c r="M99" s="2"/>
      <c r="N99" s="2"/>
      <c r="O99" s="2"/>
      <c r="P99" s="2"/>
    </row>
    <row r="100" spans="1:16" x14ac:dyDescent="0.25">
      <c r="A100" s="13" t="s">
        <v>82</v>
      </c>
      <c r="B100" s="13"/>
      <c r="C100" s="13"/>
      <c r="D100" s="13"/>
      <c r="E100" s="13"/>
      <c r="F100" s="68">
        <f>F23+F25+F75+F78+F99</f>
        <v>58.801285714285711</v>
      </c>
      <c r="G100" s="68">
        <f>G23+G25+G75+G78+G99</f>
        <v>59.337714285714291</v>
      </c>
      <c r="H100" s="68">
        <f>H23+H25+H75+H78+H99</f>
        <v>217.55166666666665</v>
      </c>
      <c r="I100" s="68">
        <f>I23+I25+I75+I78+I99</f>
        <v>1645.3766666666668</v>
      </c>
      <c r="J100" s="13"/>
      <c r="K100" s="2"/>
      <c r="L100" s="2"/>
      <c r="M100" s="2"/>
      <c r="N100" s="2"/>
      <c r="O100" s="2"/>
      <c r="P100" s="2"/>
    </row>
    <row r="101" spans="1:16" ht="16.5" thickBot="1" x14ac:dyDescent="0.3">
      <c r="J101" s="2"/>
      <c r="K101" s="2"/>
      <c r="L101" s="2"/>
      <c r="M101" s="2"/>
      <c r="N101" s="2"/>
      <c r="O101" s="2"/>
      <c r="P101" s="2"/>
    </row>
    <row r="102" spans="1:16" ht="16.5" thickBot="1" x14ac:dyDescent="0.3">
      <c r="A102" s="182" t="s">
        <v>131</v>
      </c>
      <c r="B102" s="183" t="s">
        <v>132</v>
      </c>
      <c r="C102" s="184" t="s">
        <v>133</v>
      </c>
      <c r="D102" s="185" t="s">
        <v>134</v>
      </c>
      <c r="E102" s="186"/>
      <c r="F102" s="186"/>
      <c r="G102" s="186"/>
      <c r="H102" s="186"/>
      <c r="J102" s="2"/>
      <c r="K102" s="2"/>
      <c r="L102" s="2"/>
      <c r="M102" s="2"/>
      <c r="N102" s="2"/>
      <c r="O102" s="2"/>
      <c r="P102" s="2"/>
    </row>
    <row r="103" spans="1:16" x14ac:dyDescent="0.25">
      <c r="A103" s="187" t="s">
        <v>135</v>
      </c>
      <c r="B103" s="188">
        <f>I23</f>
        <v>319.51</v>
      </c>
      <c r="C103" s="189">
        <f>B103/B108*100</f>
        <v>19.418653884723454</v>
      </c>
      <c r="D103" s="190">
        <v>0.2</v>
      </c>
      <c r="E103" s="70"/>
      <c r="F103" s="70"/>
      <c r="G103" s="191"/>
      <c r="H103" s="192"/>
      <c r="J103" s="2"/>
      <c r="K103" s="2"/>
      <c r="L103" s="2"/>
      <c r="M103" s="2"/>
      <c r="N103" s="2"/>
      <c r="O103" s="2"/>
      <c r="P103" s="2"/>
    </row>
    <row r="104" spans="1:16" x14ac:dyDescent="0.25">
      <c r="A104" s="187" t="s">
        <v>136</v>
      </c>
      <c r="B104" s="188">
        <f>I25</f>
        <v>45</v>
      </c>
      <c r="C104" s="189">
        <f>B104/B108*100</f>
        <v>2.7349360734016321</v>
      </c>
      <c r="D104" s="190">
        <v>0.05</v>
      </c>
      <c r="E104" s="70"/>
      <c r="F104" s="70"/>
      <c r="G104" s="191"/>
      <c r="H104" s="192"/>
      <c r="J104" s="2"/>
      <c r="K104" s="2"/>
      <c r="L104" s="2"/>
      <c r="M104" s="2"/>
      <c r="N104" s="2"/>
      <c r="O104" s="2"/>
      <c r="P104" s="2"/>
    </row>
    <row r="105" spans="1:16" x14ac:dyDescent="0.25">
      <c r="A105" s="193" t="s">
        <v>137</v>
      </c>
      <c r="B105" s="194">
        <f>I75</f>
        <v>561.53666666666675</v>
      </c>
      <c r="C105" s="195">
        <f>B105/B108*100</f>
        <v>34.128153026763883</v>
      </c>
      <c r="D105" s="196">
        <v>0.35</v>
      </c>
      <c r="E105" s="70"/>
      <c r="F105" s="70"/>
      <c r="G105" s="191"/>
      <c r="H105" s="157"/>
      <c r="J105" s="2"/>
      <c r="K105" s="2"/>
      <c r="L105" s="2"/>
      <c r="M105" s="2"/>
      <c r="N105" s="2"/>
      <c r="O105" s="2"/>
      <c r="P105" s="2"/>
    </row>
    <row r="106" spans="1:16" x14ac:dyDescent="0.25">
      <c r="A106" s="193" t="s">
        <v>138</v>
      </c>
      <c r="B106" s="194">
        <f>I78</f>
        <v>214.57</v>
      </c>
      <c r="C106" s="195">
        <f>B106/B108*100</f>
        <v>13.040782961550848</v>
      </c>
      <c r="D106" s="196">
        <v>0.15</v>
      </c>
      <c r="E106" s="70"/>
      <c r="F106" s="70"/>
      <c r="G106" s="191"/>
      <c r="H106" s="192"/>
      <c r="J106" s="2"/>
      <c r="K106" s="2"/>
      <c r="L106" s="2"/>
      <c r="M106" s="2"/>
      <c r="N106" s="2"/>
      <c r="O106" s="2"/>
      <c r="P106" s="2"/>
    </row>
    <row r="107" spans="1:16" ht="16.5" thickBot="1" x14ac:dyDescent="0.3">
      <c r="A107" s="193" t="s">
        <v>139</v>
      </c>
      <c r="B107" s="194">
        <f>I99</f>
        <v>504.76</v>
      </c>
      <c r="C107" s="195">
        <f>B107/B108*100</f>
        <v>30.677474053560179</v>
      </c>
      <c r="D107" s="196">
        <v>0.25</v>
      </c>
      <c r="E107" s="70"/>
      <c r="F107" s="70"/>
      <c r="G107" s="191"/>
      <c r="H107" s="192"/>
      <c r="J107" s="2"/>
      <c r="K107" s="2"/>
      <c r="L107" s="2"/>
      <c r="M107" s="2"/>
      <c r="N107" s="2"/>
      <c r="O107" s="2"/>
      <c r="P107" s="2"/>
    </row>
    <row r="108" spans="1:16" ht="16.5" thickBot="1" x14ac:dyDescent="0.3">
      <c r="A108" s="197" t="s">
        <v>140</v>
      </c>
      <c r="B108" s="198">
        <f>SUM(B103:B107)</f>
        <v>1645.3766666666668</v>
      </c>
      <c r="C108" s="199"/>
      <c r="D108" s="200"/>
      <c r="E108" s="70"/>
      <c r="F108" s="70"/>
      <c r="G108" s="70"/>
      <c r="H108" s="70"/>
      <c r="J108" s="2"/>
      <c r="K108" s="2"/>
      <c r="L108" s="2"/>
      <c r="M108" s="2"/>
      <c r="N108" s="2"/>
      <c r="O108" s="2"/>
      <c r="P108" s="2"/>
    </row>
    <row r="109" spans="1:16" x14ac:dyDescent="0.25"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12"/>
  <sheetViews>
    <sheetView view="pageBreakPreview" zoomScaleSheetLayoutView="100" workbookViewId="0">
      <selection activeCell="B12" sqref="B12"/>
    </sheetView>
  </sheetViews>
  <sheetFormatPr defaultRowHeight="15.75" x14ac:dyDescent="0.25"/>
  <cols>
    <col min="1" max="1" width="18.42578125" style="124" customWidth="1"/>
    <col min="2" max="2" width="23.7109375" style="124" customWidth="1"/>
    <col min="3" max="3" width="9.28515625" style="124" bestFit="1" customWidth="1"/>
    <col min="4" max="5" width="9.28515625" style="226" bestFit="1" customWidth="1"/>
    <col min="6" max="8" width="9.28515625" style="124" bestFit="1" customWidth="1"/>
    <col min="9" max="9" width="10.5703125" style="124" bestFit="1" customWidth="1"/>
    <col min="10" max="10" width="9.140625" style="124"/>
    <col min="11" max="12" width="9.28515625" style="124" bestFit="1" customWidth="1"/>
    <col min="13" max="16384" width="9.140625" style="124"/>
  </cols>
  <sheetData>
    <row r="1" spans="1:16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2"/>
      <c r="L1" s="2"/>
      <c r="M1" s="2"/>
      <c r="N1" s="2"/>
    </row>
    <row r="2" spans="1:16" x14ac:dyDescent="0.25">
      <c r="A2" s="2" t="s">
        <v>383</v>
      </c>
      <c r="B2" s="2"/>
      <c r="C2" s="2"/>
      <c r="D2" s="74"/>
      <c r="E2" s="74"/>
      <c r="F2" s="2"/>
      <c r="G2" s="2"/>
      <c r="H2" s="2"/>
      <c r="I2" s="2"/>
      <c r="J2" s="2"/>
      <c r="K2" s="2"/>
      <c r="L2" s="2"/>
      <c r="M2" s="2"/>
      <c r="N2" s="2"/>
    </row>
    <row r="3" spans="1:16" x14ac:dyDescent="0.25">
      <c r="A3" s="2"/>
      <c r="B3" s="2"/>
      <c r="C3" s="2"/>
      <c r="D3" s="74"/>
      <c r="E3" s="74"/>
      <c r="F3" s="2"/>
      <c r="G3" s="2"/>
      <c r="H3" s="2"/>
      <c r="I3" s="2"/>
      <c r="J3" s="2"/>
      <c r="K3" s="2"/>
      <c r="L3" s="2"/>
      <c r="M3" s="2"/>
      <c r="N3" s="2"/>
    </row>
    <row r="4" spans="1:16" x14ac:dyDescent="0.25">
      <c r="A4" s="411" t="s">
        <v>1</v>
      </c>
      <c r="B4" s="411" t="s">
        <v>2</v>
      </c>
      <c r="C4" s="411" t="s">
        <v>3</v>
      </c>
      <c r="D4" s="415" t="s">
        <v>12</v>
      </c>
      <c r="E4" s="416"/>
      <c r="F4" s="409" t="s">
        <v>7</v>
      </c>
      <c r="G4" s="410"/>
      <c r="H4" s="410"/>
      <c r="I4" s="411" t="s">
        <v>8</v>
      </c>
      <c r="J4" s="409" t="s">
        <v>9</v>
      </c>
      <c r="K4" s="2"/>
      <c r="L4" s="2"/>
      <c r="M4" s="2"/>
      <c r="N4" s="2"/>
    </row>
    <row r="5" spans="1:16" x14ac:dyDescent="0.25">
      <c r="A5" s="412"/>
      <c r="B5" s="412"/>
      <c r="C5" s="412"/>
      <c r="D5" s="75" t="s">
        <v>10</v>
      </c>
      <c r="E5" s="75" t="s">
        <v>11</v>
      </c>
      <c r="F5" s="4" t="s">
        <v>4</v>
      </c>
      <c r="G5" s="4" t="s">
        <v>5</v>
      </c>
      <c r="H5" s="4" t="s">
        <v>6</v>
      </c>
      <c r="I5" s="412"/>
      <c r="J5" s="410"/>
      <c r="K5" s="2"/>
      <c r="L5" s="2"/>
      <c r="M5" s="2"/>
      <c r="N5" s="2"/>
    </row>
    <row r="6" spans="1:16" ht="31.5" x14ac:dyDescent="0.25">
      <c r="A6" s="201" t="s">
        <v>313</v>
      </c>
      <c r="B6" s="3"/>
      <c r="C6" s="3"/>
      <c r="D6" s="76"/>
      <c r="E6" s="76"/>
      <c r="F6" s="3"/>
      <c r="G6" s="3"/>
      <c r="H6" s="3"/>
      <c r="I6" s="3"/>
      <c r="J6" s="3"/>
      <c r="K6" s="2"/>
      <c r="L6" s="69"/>
      <c r="M6" s="69"/>
      <c r="N6" s="69"/>
      <c r="O6" s="205"/>
      <c r="P6" s="205"/>
    </row>
    <row r="7" spans="1:16" x14ac:dyDescent="0.25">
      <c r="A7" s="4" t="s">
        <v>14</v>
      </c>
      <c r="B7" s="204" t="s">
        <v>142</v>
      </c>
      <c r="C7" s="126">
        <v>150</v>
      </c>
      <c r="D7" s="127"/>
      <c r="E7" s="127"/>
      <c r="F7" s="126">
        <v>29.216666666666665</v>
      </c>
      <c r="G7" s="126">
        <v>12.108333333333333</v>
      </c>
      <c r="H7" s="126">
        <v>29.1</v>
      </c>
      <c r="I7" s="126">
        <v>342.24</v>
      </c>
      <c r="J7" s="4" t="s">
        <v>149</v>
      </c>
      <c r="K7" s="2"/>
      <c r="L7" s="156"/>
      <c r="M7" s="93"/>
      <c r="N7" s="156"/>
      <c r="O7" s="156"/>
      <c r="P7" s="103"/>
    </row>
    <row r="8" spans="1:16" x14ac:dyDescent="0.25">
      <c r="A8" s="3"/>
      <c r="B8" s="206" t="s">
        <v>143</v>
      </c>
      <c r="C8" s="126"/>
      <c r="D8" s="127">
        <v>141</v>
      </c>
      <c r="E8" s="127">
        <v>139.5</v>
      </c>
      <c r="F8" s="126"/>
      <c r="G8" s="126"/>
      <c r="H8" s="126"/>
      <c r="I8" s="126"/>
      <c r="J8" s="4" t="s">
        <v>16</v>
      </c>
      <c r="K8" s="2"/>
      <c r="L8" s="69"/>
      <c r="M8" s="208"/>
      <c r="N8" s="69"/>
      <c r="O8" s="205"/>
      <c r="P8" s="205"/>
    </row>
    <row r="9" spans="1:16" x14ac:dyDescent="0.25">
      <c r="A9" s="3"/>
      <c r="B9" s="206" t="s">
        <v>85</v>
      </c>
      <c r="C9" s="126"/>
      <c r="D9" s="127">
        <v>12</v>
      </c>
      <c r="E9" s="127">
        <v>12</v>
      </c>
      <c r="F9" s="126"/>
      <c r="G9" s="126"/>
      <c r="H9" s="126"/>
      <c r="I9" s="126"/>
      <c r="J9" s="3"/>
      <c r="K9" s="2"/>
      <c r="L9" s="69"/>
      <c r="M9" s="208"/>
      <c r="N9" s="69"/>
      <c r="O9" s="205"/>
      <c r="P9" s="205"/>
    </row>
    <row r="10" spans="1:16" x14ac:dyDescent="0.25">
      <c r="A10" s="3"/>
      <c r="B10" s="206" t="s">
        <v>435</v>
      </c>
      <c r="C10" s="126"/>
      <c r="D10" s="127">
        <v>9.6999999999999993</v>
      </c>
      <c r="E10" s="127">
        <v>9.6999999999999993</v>
      </c>
      <c r="F10" s="126"/>
      <c r="G10" s="126"/>
      <c r="H10" s="126"/>
      <c r="I10" s="126"/>
      <c r="J10" s="3"/>
      <c r="K10" s="2"/>
      <c r="L10" s="69"/>
      <c r="M10" s="208"/>
      <c r="N10" s="69"/>
      <c r="O10" s="205"/>
      <c r="P10" s="205"/>
    </row>
    <row r="11" spans="1:16" x14ac:dyDescent="0.25">
      <c r="A11" s="3"/>
      <c r="B11" s="206" t="s">
        <v>145</v>
      </c>
      <c r="C11" s="126"/>
      <c r="D11" s="127" t="s">
        <v>150</v>
      </c>
      <c r="E11" s="127">
        <v>4.5</v>
      </c>
      <c r="F11" s="126"/>
      <c r="G11" s="126"/>
      <c r="H11" s="126"/>
      <c r="I11" s="126"/>
      <c r="J11" s="3"/>
      <c r="K11" s="2"/>
      <c r="L11" s="2"/>
      <c r="M11" s="208"/>
      <c r="N11" s="69"/>
    </row>
    <row r="12" spans="1:16" x14ac:dyDescent="0.25">
      <c r="A12" s="3"/>
      <c r="B12" s="206" t="s">
        <v>39</v>
      </c>
      <c r="C12" s="126"/>
      <c r="D12" s="127">
        <v>9.6999999999999993</v>
      </c>
      <c r="E12" s="127">
        <v>9.6999999999999993</v>
      </c>
      <c r="F12" s="126"/>
      <c r="G12" s="126"/>
      <c r="H12" s="126"/>
      <c r="I12" s="126"/>
      <c r="J12" s="3"/>
      <c r="K12" s="2"/>
      <c r="L12" s="2"/>
      <c r="M12" s="208"/>
      <c r="N12" s="69"/>
    </row>
    <row r="13" spans="1:16" x14ac:dyDescent="0.25">
      <c r="A13" s="3"/>
      <c r="B13" s="206" t="s">
        <v>146</v>
      </c>
      <c r="C13" s="126"/>
      <c r="D13" s="344">
        <v>1.4999999999999999E-2</v>
      </c>
      <c r="E13" s="344">
        <v>1.4999999999999998E-2</v>
      </c>
      <c r="F13" s="126"/>
      <c r="G13" s="126"/>
      <c r="H13" s="126"/>
      <c r="I13" s="126"/>
      <c r="J13" s="3"/>
      <c r="K13" s="2"/>
      <c r="L13" s="2"/>
      <c r="M13" s="208"/>
      <c r="N13" s="69"/>
    </row>
    <row r="14" spans="1:16" x14ac:dyDescent="0.25">
      <c r="A14" s="3"/>
      <c r="B14" s="206" t="s">
        <v>91</v>
      </c>
      <c r="C14" s="126"/>
      <c r="D14" s="344">
        <v>5.2</v>
      </c>
      <c r="E14" s="344">
        <v>5.2</v>
      </c>
      <c r="F14" s="126"/>
      <c r="G14" s="126"/>
      <c r="H14" s="126"/>
      <c r="I14" s="126"/>
      <c r="J14" s="3"/>
      <c r="K14" s="2"/>
      <c r="L14" s="2"/>
      <c r="M14" s="208"/>
      <c r="N14" s="69"/>
    </row>
    <row r="15" spans="1:16" x14ac:dyDescent="0.25">
      <c r="A15" s="3"/>
      <c r="B15" s="206" t="s">
        <v>147</v>
      </c>
      <c r="C15" s="126"/>
      <c r="D15" s="127">
        <v>5.2</v>
      </c>
      <c r="E15" s="127">
        <v>5.2</v>
      </c>
      <c r="F15" s="126"/>
      <c r="G15" s="126"/>
      <c r="H15" s="126"/>
      <c r="I15" s="126"/>
      <c r="J15" s="3"/>
      <c r="K15" s="2"/>
      <c r="L15" s="2"/>
      <c r="M15" s="208"/>
      <c r="N15" s="69"/>
    </row>
    <row r="16" spans="1:16" x14ac:dyDescent="0.25">
      <c r="A16" s="3"/>
      <c r="B16" s="206" t="s">
        <v>105</v>
      </c>
      <c r="C16" s="126"/>
      <c r="D16" s="127">
        <v>5.2</v>
      </c>
      <c r="E16" s="127">
        <v>5.2</v>
      </c>
      <c r="F16" s="126"/>
      <c r="G16" s="126"/>
      <c r="H16" s="126"/>
      <c r="I16" s="126"/>
      <c r="J16" s="3"/>
      <c r="K16" s="2"/>
      <c r="L16" s="2"/>
      <c r="M16" s="208"/>
      <c r="N16" s="69"/>
    </row>
    <row r="17" spans="1:18" ht="31.5" x14ac:dyDescent="0.25">
      <c r="A17" s="3"/>
      <c r="B17" s="210" t="s">
        <v>148</v>
      </c>
      <c r="C17" s="168">
        <v>15</v>
      </c>
      <c r="D17" s="178">
        <f>C17</f>
        <v>15</v>
      </c>
      <c r="E17" s="178">
        <f>C17</f>
        <v>15</v>
      </c>
      <c r="F17" s="129">
        <f>C17*1.44/K17</f>
        <v>1.0799999999999998</v>
      </c>
      <c r="G17" s="129">
        <f>C17*1.7/K17</f>
        <v>1.2749999999999999</v>
      </c>
      <c r="H17" s="129">
        <f>C17*11.2/K17</f>
        <v>8.4</v>
      </c>
      <c r="I17" s="129">
        <f>C17*64/K17</f>
        <v>48</v>
      </c>
      <c r="J17" s="3"/>
      <c r="K17" s="2">
        <v>20</v>
      </c>
      <c r="L17" s="69"/>
      <c r="M17" s="69"/>
      <c r="N17" s="69"/>
      <c r="O17" s="205"/>
    </row>
    <row r="18" spans="1:18" x14ac:dyDescent="0.25">
      <c r="A18" s="3"/>
      <c r="B18" s="204" t="s">
        <v>151</v>
      </c>
      <c r="C18" s="129">
        <v>180</v>
      </c>
      <c r="D18" s="76"/>
      <c r="E18" s="76"/>
      <c r="F18" s="129">
        <v>5.0199999999999996</v>
      </c>
      <c r="G18" s="129">
        <f>C18*6.38/K18</f>
        <v>5.7420000000000009</v>
      </c>
      <c r="H18" s="129">
        <f>C18*9.38/K18</f>
        <v>8.4420000000000002</v>
      </c>
      <c r="I18" s="129">
        <f>C18*117.31/K18</f>
        <v>105.57899999999999</v>
      </c>
      <c r="J18" s="4" t="s">
        <v>276</v>
      </c>
      <c r="K18" s="2">
        <v>200</v>
      </c>
      <c r="L18" s="69"/>
      <c r="M18" s="69"/>
      <c r="N18" s="69"/>
      <c r="O18" s="205"/>
    </row>
    <row r="19" spans="1:18" x14ac:dyDescent="0.25">
      <c r="A19" s="3"/>
      <c r="B19" s="134" t="s">
        <v>26</v>
      </c>
      <c r="C19" s="47"/>
      <c r="D19" s="211">
        <f>C18*210/K18</f>
        <v>189</v>
      </c>
      <c r="E19" s="211">
        <f>C18</f>
        <v>180</v>
      </c>
      <c r="F19" s="129"/>
      <c r="G19" s="129"/>
      <c r="H19" s="129"/>
      <c r="I19" s="129"/>
      <c r="J19" s="212" t="s">
        <v>16</v>
      </c>
      <c r="K19" s="69"/>
      <c r="L19" s="69"/>
      <c r="M19" s="69"/>
      <c r="N19" s="69"/>
      <c r="O19" s="205"/>
      <c r="P19" s="205"/>
      <c r="Q19" s="205"/>
      <c r="R19" s="205"/>
    </row>
    <row r="20" spans="1:18" x14ac:dyDescent="0.25">
      <c r="A20" s="3"/>
      <c r="B20" s="97" t="s">
        <v>28</v>
      </c>
      <c r="C20" s="129">
        <v>10</v>
      </c>
      <c r="D20" s="130">
        <v>10</v>
      </c>
      <c r="E20" s="130">
        <v>10</v>
      </c>
      <c r="F20" s="126">
        <v>0.76</v>
      </c>
      <c r="G20" s="126">
        <v>0.09</v>
      </c>
      <c r="H20" s="126">
        <v>4.67</v>
      </c>
      <c r="I20" s="126">
        <v>23.1</v>
      </c>
      <c r="J20" s="3"/>
      <c r="K20" s="72">
        <v>20</v>
      </c>
      <c r="L20" s="2"/>
      <c r="M20" s="2"/>
      <c r="N20" s="2"/>
    </row>
    <row r="21" spans="1:18" x14ac:dyDescent="0.25">
      <c r="A21" s="3"/>
      <c r="B21" s="125" t="s">
        <v>84</v>
      </c>
      <c r="C21" s="129">
        <v>10</v>
      </c>
      <c r="D21" s="130">
        <f>C21</f>
        <v>10</v>
      </c>
      <c r="E21" s="130">
        <f>C21</f>
        <v>10</v>
      </c>
      <c r="F21" s="129">
        <f>C21*1.54/K21</f>
        <v>0.77</v>
      </c>
      <c r="G21" s="129">
        <f>C21*0.28/K21</f>
        <v>0.14000000000000001</v>
      </c>
      <c r="H21" s="129">
        <f>C21*7.52/K21</f>
        <v>3.7599999999999993</v>
      </c>
      <c r="I21" s="129">
        <f>C21*40.2/K21</f>
        <v>20.100000000000001</v>
      </c>
      <c r="J21" s="3"/>
      <c r="K21" s="72">
        <v>20</v>
      </c>
      <c r="L21" s="2"/>
      <c r="M21" s="2"/>
      <c r="N21" s="2"/>
    </row>
    <row r="22" spans="1:18" x14ac:dyDescent="0.25">
      <c r="A22" s="5" t="s">
        <v>30</v>
      </c>
      <c r="B22" s="6"/>
      <c r="C22" s="8">
        <f>SUM(C7:C21)</f>
        <v>365</v>
      </c>
      <c r="D22" s="77"/>
      <c r="E22" s="77"/>
      <c r="F22" s="8">
        <f>SUM(F7:F21)</f>
        <v>36.846666666666664</v>
      </c>
      <c r="G22" s="8">
        <f>SUM(G7:G21)</f>
        <v>19.355333333333334</v>
      </c>
      <c r="H22" s="8">
        <f>SUM(H7:H21)</f>
        <v>54.372</v>
      </c>
      <c r="I22" s="8">
        <f>SUM(I7:I21)</f>
        <v>539.01900000000001</v>
      </c>
      <c r="J22" s="6"/>
      <c r="K22" s="2"/>
      <c r="L22" s="2"/>
      <c r="M22" s="2"/>
      <c r="N22" s="2"/>
    </row>
    <row r="23" spans="1:18" x14ac:dyDescent="0.25">
      <c r="A23" s="4" t="s">
        <v>31</v>
      </c>
      <c r="B23" s="97" t="s">
        <v>407</v>
      </c>
      <c r="C23" s="126">
        <v>140</v>
      </c>
      <c r="D23" s="122">
        <f>C23</f>
        <v>140</v>
      </c>
      <c r="E23" s="122">
        <f>C23</f>
        <v>140</v>
      </c>
      <c r="F23" s="126">
        <v>0</v>
      </c>
      <c r="G23" s="126">
        <v>0</v>
      </c>
      <c r="H23" s="126">
        <v>16.100000000000001</v>
      </c>
      <c r="I23" s="126">
        <f>C23*92/K23</f>
        <v>64.400000000000006</v>
      </c>
      <c r="J23" s="3"/>
      <c r="K23" s="72">
        <v>200</v>
      </c>
      <c r="L23" s="2"/>
      <c r="M23" s="2"/>
      <c r="N23" s="2"/>
    </row>
    <row r="24" spans="1:18" ht="39" customHeight="1" x14ac:dyDescent="0.25">
      <c r="A24" s="9" t="s">
        <v>32</v>
      </c>
      <c r="B24" s="6"/>
      <c r="C24" s="8">
        <f>SUM(C23)</f>
        <v>140</v>
      </c>
      <c r="D24" s="77"/>
      <c r="E24" s="77"/>
      <c r="F24" s="8">
        <f>SUM(F23)</f>
        <v>0</v>
      </c>
      <c r="G24" s="8">
        <f>SUM(G23)</f>
        <v>0</v>
      </c>
      <c r="H24" s="8">
        <f>SUM(H23)</f>
        <v>16.100000000000001</v>
      </c>
      <c r="I24" s="8">
        <f>SUM(I23)</f>
        <v>64.400000000000006</v>
      </c>
      <c r="J24" s="6"/>
      <c r="K24" s="2"/>
      <c r="L24" s="2"/>
      <c r="M24" s="2"/>
      <c r="N24" s="2"/>
    </row>
    <row r="25" spans="1:18" x14ac:dyDescent="0.25">
      <c r="A25" s="4" t="s">
        <v>33</v>
      </c>
      <c r="B25" s="250" t="s">
        <v>315</v>
      </c>
      <c r="C25" s="126">
        <v>40</v>
      </c>
      <c r="D25" s="83">
        <f>C25*51/K25</f>
        <v>40.799999999999997</v>
      </c>
      <c r="E25" s="83">
        <f>C25</f>
        <v>40</v>
      </c>
      <c r="F25" s="345">
        <v>0.28000000000000003</v>
      </c>
      <c r="G25" s="345">
        <v>0.04</v>
      </c>
      <c r="H25" s="345">
        <v>0.76</v>
      </c>
      <c r="I25" s="345">
        <v>4.4000000000000004</v>
      </c>
      <c r="J25" s="346"/>
      <c r="K25" s="2">
        <v>50</v>
      </c>
      <c r="L25" s="2"/>
      <c r="M25" s="2"/>
      <c r="N25" s="2"/>
    </row>
    <row r="26" spans="1:18" ht="31.5" x14ac:dyDescent="0.25">
      <c r="A26" s="3"/>
      <c r="B26" s="347" t="s">
        <v>201</v>
      </c>
      <c r="C26" s="348">
        <v>165</v>
      </c>
      <c r="D26" s="237"/>
      <c r="E26" s="237"/>
      <c r="F26" s="238">
        <v>3.82</v>
      </c>
      <c r="G26" s="238">
        <v>5.9</v>
      </c>
      <c r="H26" s="238">
        <v>6.78</v>
      </c>
      <c r="I26" s="238">
        <v>95.46</v>
      </c>
      <c r="J26" s="346" t="s">
        <v>202</v>
      </c>
      <c r="K26" s="2"/>
      <c r="L26" s="2"/>
      <c r="M26" s="2"/>
      <c r="N26" s="2"/>
    </row>
    <row r="27" spans="1:18" x14ac:dyDescent="0.25">
      <c r="A27" s="3"/>
      <c r="B27" s="239" t="s">
        <v>43</v>
      </c>
      <c r="C27" s="240"/>
      <c r="D27" s="76">
        <v>17.3</v>
      </c>
      <c r="E27" s="76">
        <v>16</v>
      </c>
      <c r="F27" s="238"/>
      <c r="G27" s="238"/>
      <c r="H27" s="238"/>
      <c r="I27" s="238"/>
      <c r="J27" s="275" t="s">
        <v>16</v>
      </c>
      <c r="K27" s="2"/>
      <c r="L27" s="2"/>
      <c r="M27" s="2"/>
      <c r="N27" s="2"/>
    </row>
    <row r="28" spans="1:18" x14ac:dyDescent="0.25">
      <c r="A28" s="3"/>
      <c r="B28" s="239" t="s">
        <v>27</v>
      </c>
      <c r="C28" s="240"/>
      <c r="D28" s="76">
        <v>158</v>
      </c>
      <c r="E28" s="76">
        <v>158</v>
      </c>
      <c r="F28" s="242"/>
      <c r="G28" s="242"/>
      <c r="H28" s="242"/>
      <c r="I28" s="242"/>
      <c r="J28" s="3"/>
      <c r="K28" s="2"/>
      <c r="L28" s="2"/>
      <c r="M28" s="2"/>
      <c r="N28" s="2"/>
    </row>
    <row r="29" spans="1:18" ht="31.5" x14ac:dyDescent="0.25">
      <c r="A29" s="3"/>
      <c r="B29" s="242" t="s">
        <v>44</v>
      </c>
      <c r="C29" s="236"/>
      <c r="D29" s="76"/>
      <c r="E29" s="76">
        <v>10</v>
      </c>
      <c r="F29" s="242"/>
      <c r="G29" s="242"/>
      <c r="H29" s="242"/>
      <c r="I29" s="242"/>
      <c r="J29" s="3"/>
      <c r="K29" s="2">
        <v>12</v>
      </c>
      <c r="L29" s="2"/>
      <c r="M29" s="2"/>
      <c r="N29" s="2"/>
    </row>
    <row r="30" spans="1:18" ht="31.5" x14ac:dyDescent="0.25">
      <c r="A30" s="3"/>
      <c r="B30" s="242" t="s">
        <v>45</v>
      </c>
      <c r="C30" s="236">
        <v>150</v>
      </c>
      <c r="D30" s="243"/>
      <c r="E30" s="244">
        <v>113</v>
      </c>
      <c r="F30" s="242"/>
      <c r="G30" s="242"/>
      <c r="H30" s="242"/>
      <c r="I30" s="242"/>
      <c r="J30" s="3"/>
      <c r="K30" s="2"/>
      <c r="L30" s="2"/>
      <c r="M30" s="2"/>
      <c r="N30" s="2"/>
    </row>
    <row r="31" spans="1:18" x14ac:dyDescent="0.25">
      <c r="A31" s="3"/>
      <c r="B31" s="245" t="s">
        <v>199</v>
      </c>
      <c r="D31" s="244">
        <v>30</v>
      </c>
      <c r="E31" s="244">
        <v>24</v>
      </c>
      <c r="F31" s="240"/>
      <c r="G31" s="240"/>
      <c r="H31" s="240"/>
      <c r="I31" s="240"/>
      <c r="J31" s="3"/>
      <c r="K31" s="2">
        <v>182</v>
      </c>
      <c r="L31" s="2"/>
      <c r="M31" s="2"/>
      <c r="N31" s="2"/>
    </row>
    <row r="32" spans="1:18" x14ac:dyDescent="0.25">
      <c r="A32" s="3"/>
      <c r="B32" s="245" t="s">
        <v>157</v>
      </c>
      <c r="C32" s="236"/>
      <c r="D32" s="244">
        <v>15</v>
      </c>
      <c r="E32" s="244">
        <v>12</v>
      </c>
      <c r="F32" s="240"/>
      <c r="G32" s="240"/>
      <c r="H32" s="240"/>
      <c r="I32" s="240"/>
      <c r="J32" s="3"/>
      <c r="K32" s="2"/>
      <c r="L32" s="2"/>
      <c r="M32" s="2"/>
      <c r="N32" s="2"/>
    </row>
    <row r="33" spans="1:14" x14ac:dyDescent="0.25">
      <c r="A33" s="3"/>
      <c r="B33" s="245" t="s">
        <v>47</v>
      </c>
      <c r="C33" s="236"/>
      <c r="D33" s="244">
        <v>15</v>
      </c>
      <c r="E33" s="244">
        <v>12</v>
      </c>
      <c r="F33" s="240"/>
      <c r="G33" s="240"/>
      <c r="H33" s="240"/>
      <c r="I33" s="240"/>
      <c r="J33" s="3"/>
      <c r="K33" s="2"/>
      <c r="L33" s="2"/>
      <c r="M33" s="2"/>
      <c r="N33" s="2"/>
    </row>
    <row r="34" spans="1:14" x14ac:dyDescent="0.25">
      <c r="A34" s="3"/>
      <c r="B34" s="245" t="s">
        <v>48</v>
      </c>
      <c r="C34" s="236"/>
      <c r="D34" s="244">
        <v>7.5</v>
      </c>
      <c r="E34" s="244">
        <v>6</v>
      </c>
      <c r="F34" s="240"/>
      <c r="G34" s="240"/>
      <c r="H34" s="240"/>
      <c r="I34" s="240"/>
      <c r="J34" s="3"/>
      <c r="K34" s="2"/>
      <c r="L34" s="2"/>
      <c r="M34" s="2"/>
      <c r="N34" s="2"/>
    </row>
    <row r="35" spans="1:14" x14ac:dyDescent="0.25">
      <c r="A35" s="3"/>
      <c r="B35" s="245" t="s">
        <v>49</v>
      </c>
      <c r="C35" s="236"/>
      <c r="D35" s="244">
        <f>C30*4.54545454545455/K31</f>
        <v>3.7462537462537502</v>
      </c>
      <c r="E35" s="244">
        <f>C30*3.63636363636364/K31</f>
        <v>2.9970029970029999</v>
      </c>
      <c r="F35" s="240"/>
      <c r="G35" s="240"/>
      <c r="H35" s="240"/>
      <c r="I35" s="240"/>
      <c r="J35" s="3"/>
      <c r="K35" s="2"/>
      <c r="L35" s="2"/>
      <c r="M35" s="2"/>
      <c r="N35" s="2"/>
    </row>
    <row r="36" spans="1:14" x14ac:dyDescent="0.25">
      <c r="A36" s="3"/>
      <c r="B36" s="245" t="s">
        <v>370</v>
      </c>
      <c r="C36" s="236"/>
      <c r="D36" s="244">
        <v>1.8</v>
      </c>
      <c r="E36" s="244">
        <v>1.8</v>
      </c>
      <c r="F36" s="240"/>
      <c r="G36" s="240"/>
      <c r="H36" s="240"/>
      <c r="I36" s="240"/>
      <c r="J36" s="3"/>
      <c r="K36" s="2"/>
      <c r="L36" s="2"/>
      <c r="M36" s="2"/>
      <c r="N36" s="2"/>
    </row>
    <row r="37" spans="1:14" x14ac:dyDescent="0.25">
      <c r="A37" s="3"/>
      <c r="B37" s="245" t="s">
        <v>20</v>
      </c>
      <c r="C37" s="236"/>
      <c r="D37" s="244">
        <v>0.5</v>
      </c>
      <c r="E37" s="244">
        <v>0.5</v>
      </c>
      <c r="F37" s="240"/>
      <c r="G37" s="240"/>
      <c r="H37" s="240"/>
      <c r="I37" s="240"/>
      <c r="J37" s="3"/>
      <c r="K37" s="2"/>
      <c r="L37" s="2"/>
      <c r="M37" s="2"/>
      <c r="N37" s="2"/>
    </row>
    <row r="38" spans="1:14" x14ac:dyDescent="0.25">
      <c r="A38" s="3"/>
      <c r="B38" s="246" t="s">
        <v>19</v>
      </c>
      <c r="C38" s="236"/>
      <c r="D38" s="244">
        <f>$C$30*1.81818181818182/$K$31</f>
        <v>1.4985014985014999</v>
      </c>
      <c r="E38" s="244">
        <f>$C$30*1.81818181818182/$K$31</f>
        <v>1.4985014985014999</v>
      </c>
      <c r="F38" s="240"/>
      <c r="G38" s="240"/>
      <c r="H38" s="240"/>
      <c r="I38" s="240"/>
      <c r="J38" s="3"/>
      <c r="K38" s="2"/>
      <c r="L38" s="2"/>
      <c r="M38" s="2"/>
      <c r="N38" s="2"/>
    </row>
    <row r="39" spans="1:14" x14ac:dyDescent="0.25">
      <c r="A39" s="3"/>
      <c r="B39" s="246" t="s">
        <v>200</v>
      </c>
      <c r="C39" s="240"/>
      <c r="D39" s="244">
        <f>$C$30*0.181818181818182/$K$31</f>
        <v>0.14985014985014999</v>
      </c>
      <c r="E39" s="244">
        <f>$C$30*0.181818181818182/$K$31</f>
        <v>0.14985014985014999</v>
      </c>
      <c r="F39" s="240"/>
      <c r="G39" s="240"/>
      <c r="H39" s="240"/>
      <c r="I39" s="240"/>
      <c r="J39" s="3"/>
      <c r="K39" s="2"/>
      <c r="L39" s="2"/>
      <c r="M39" s="2"/>
      <c r="N39" s="2"/>
    </row>
    <row r="40" spans="1:14" x14ac:dyDescent="0.25">
      <c r="A40" s="3"/>
      <c r="B40" s="246" t="s">
        <v>159</v>
      </c>
      <c r="C40" s="247"/>
      <c r="D40" s="244">
        <f>C30*1.35/K31</f>
        <v>1.1126373626373627</v>
      </c>
      <c r="E40" s="244">
        <f>C30*1/K31</f>
        <v>0.82417582417582413</v>
      </c>
      <c r="F40" s="236"/>
      <c r="G40" s="236"/>
      <c r="H40" s="236"/>
      <c r="I40" s="236"/>
      <c r="J40" s="3"/>
      <c r="K40" s="2"/>
      <c r="L40" s="2"/>
      <c r="M40" s="2"/>
      <c r="N40" s="2"/>
    </row>
    <row r="41" spans="1:14" x14ac:dyDescent="0.25">
      <c r="A41" s="3"/>
      <c r="B41" s="246" t="s">
        <v>160</v>
      </c>
      <c r="C41" s="236"/>
      <c r="D41" s="244">
        <v>5</v>
      </c>
      <c r="E41" s="244">
        <v>5</v>
      </c>
      <c r="F41" s="236"/>
      <c r="G41" s="236"/>
      <c r="H41" s="236"/>
      <c r="I41" s="236"/>
      <c r="J41" s="3"/>
      <c r="K41" s="2"/>
      <c r="L41" s="2"/>
      <c r="M41" s="2"/>
      <c r="N41" s="2"/>
    </row>
    <row r="42" spans="1:14" x14ac:dyDescent="0.25">
      <c r="A42" s="3"/>
      <c r="B42" s="45" t="s">
        <v>284</v>
      </c>
      <c r="C42" s="149">
        <v>60</v>
      </c>
      <c r="D42" s="223"/>
      <c r="E42" s="223"/>
      <c r="F42" s="126">
        <v>7.66</v>
      </c>
      <c r="G42" s="126">
        <f>C42*5.48/K42</f>
        <v>4.6971428571428575</v>
      </c>
      <c r="H42" s="126">
        <v>7.84</v>
      </c>
      <c r="I42" s="126">
        <v>103.26</v>
      </c>
      <c r="J42" s="166" t="s">
        <v>285</v>
      </c>
      <c r="K42" s="2">
        <v>70</v>
      </c>
      <c r="L42" s="2"/>
      <c r="M42" s="2"/>
      <c r="N42" s="2"/>
    </row>
    <row r="43" spans="1:14" x14ac:dyDescent="0.25">
      <c r="A43" s="3"/>
      <c r="B43" s="206" t="s">
        <v>286</v>
      </c>
      <c r="C43" s="154"/>
      <c r="D43" s="224">
        <f>C42*63/K42</f>
        <v>54</v>
      </c>
      <c r="E43" s="211">
        <v>39</v>
      </c>
      <c r="F43" s="126"/>
      <c r="G43" s="126"/>
      <c r="H43" s="126"/>
      <c r="I43" s="126"/>
      <c r="J43" s="4" t="s">
        <v>16</v>
      </c>
      <c r="K43" s="2"/>
      <c r="L43" s="2"/>
      <c r="M43" s="2"/>
      <c r="N43" s="2"/>
    </row>
    <row r="44" spans="1:14" x14ac:dyDescent="0.25">
      <c r="A44" s="3"/>
      <c r="B44" s="134" t="s">
        <v>178</v>
      </c>
      <c r="C44" s="154"/>
      <c r="D44" s="224">
        <v>8</v>
      </c>
      <c r="E44" s="224">
        <v>8</v>
      </c>
      <c r="F44" s="126"/>
      <c r="G44" s="126"/>
      <c r="H44" s="126"/>
      <c r="I44" s="126"/>
      <c r="J44" s="166"/>
      <c r="K44" s="2"/>
      <c r="L44" s="2"/>
      <c r="M44" s="2"/>
      <c r="N44" s="2"/>
    </row>
    <row r="45" spans="1:14" x14ac:dyDescent="0.25">
      <c r="A45" s="3"/>
      <c r="B45" s="134" t="s">
        <v>188</v>
      </c>
      <c r="C45" s="154"/>
      <c r="D45" s="224">
        <v>12</v>
      </c>
      <c r="E45" s="224">
        <v>12</v>
      </c>
      <c r="F45" s="126"/>
      <c r="G45" s="126"/>
      <c r="H45" s="126"/>
      <c r="I45" s="126"/>
      <c r="J45" s="166"/>
      <c r="K45" s="2"/>
      <c r="L45" s="2"/>
      <c r="M45" s="2"/>
      <c r="N45" s="2"/>
    </row>
    <row r="46" spans="1:14" x14ac:dyDescent="0.25">
      <c r="A46" s="3"/>
      <c r="B46" s="134" t="s">
        <v>179</v>
      </c>
      <c r="C46" s="154"/>
      <c r="D46" s="224">
        <v>9.4</v>
      </c>
      <c r="E46" s="224">
        <v>8</v>
      </c>
      <c r="F46" s="126"/>
      <c r="G46" s="126"/>
      <c r="H46" s="126"/>
      <c r="I46" s="126"/>
      <c r="J46" s="166"/>
      <c r="K46" s="2"/>
      <c r="L46" s="2"/>
      <c r="M46" s="2"/>
      <c r="N46" s="2"/>
    </row>
    <row r="47" spans="1:14" x14ac:dyDescent="0.25">
      <c r="A47" s="3"/>
      <c r="B47" s="134" t="s">
        <v>78</v>
      </c>
      <c r="C47" s="154"/>
      <c r="D47" s="224" t="s">
        <v>378</v>
      </c>
      <c r="E47" s="224">
        <f>C42*4/K42</f>
        <v>3.4285714285714284</v>
      </c>
      <c r="F47" s="126"/>
      <c r="G47" s="126"/>
      <c r="H47" s="126"/>
      <c r="I47" s="126"/>
      <c r="J47" s="166"/>
      <c r="K47" s="2"/>
      <c r="L47" s="2"/>
      <c r="M47" s="2"/>
      <c r="N47" s="2"/>
    </row>
    <row r="48" spans="1:14" x14ac:dyDescent="0.25">
      <c r="A48" s="3"/>
      <c r="B48" s="66" t="s">
        <v>263</v>
      </c>
      <c r="C48" s="126"/>
      <c r="D48" s="127">
        <v>4.8</v>
      </c>
      <c r="E48" s="127">
        <v>4.8</v>
      </c>
      <c r="F48" s="126"/>
      <c r="G48" s="126"/>
      <c r="H48" s="126"/>
      <c r="I48" s="126"/>
      <c r="J48" s="166"/>
      <c r="K48" s="2"/>
      <c r="L48" s="2"/>
      <c r="M48" s="2"/>
      <c r="N48" s="2"/>
    </row>
    <row r="49" spans="1:14" x14ac:dyDescent="0.25">
      <c r="A49" s="3"/>
      <c r="B49" s="66" t="s">
        <v>20</v>
      </c>
      <c r="C49" s="126"/>
      <c r="D49" s="127">
        <v>0.3</v>
      </c>
      <c r="E49" s="127">
        <v>0.3</v>
      </c>
      <c r="F49" s="126"/>
      <c r="G49" s="126"/>
      <c r="H49" s="126"/>
      <c r="I49" s="126"/>
      <c r="J49" s="166"/>
      <c r="K49" s="2"/>
      <c r="L49" s="2"/>
      <c r="M49" s="2"/>
      <c r="N49" s="2"/>
    </row>
    <row r="50" spans="1:14" x14ac:dyDescent="0.25">
      <c r="A50" s="3"/>
      <c r="B50" s="66" t="s">
        <v>287</v>
      </c>
      <c r="C50" s="126"/>
      <c r="D50" s="127">
        <v>4.3</v>
      </c>
      <c r="E50" s="127">
        <v>4.3</v>
      </c>
      <c r="F50" s="126"/>
      <c r="G50" s="126"/>
      <c r="H50" s="126"/>
      <c r="I50" s="126"/>
      <c r="J50" s="166"/>
      <c r="K50" s="2"/>
      <c r="L50" s="2"/>
      <c r="M50" s="2"/>
      <c r="N50" s="2"/>
    </row>
    <row r="51" spans="1:14" x14ac:dyDescent="0.25">
      <c r="A51" s="3"/>
      <c r="B51" s="213" t="s">
        <v>164</v>
      </c>
      <c r="C51" s="149">
        <v>20</v>
      </c>
      <c r="D51" s="349">
        <v>25</v>
      </c>
      <c r="E51" s="224"/>
      <c r="F51" s="129">
        <v>0.1</v>
      </c>
      <c r="G51" s="129">
        <f>C51*1.1/K51</f>
        <v>0.73333333333333328</v>
      </c>
      <c r="H51" s="129">
        <f>C51*1.57/K51</f>
        <v>1.0466666666666666</v>
      </c>
      <c r="I51" s="129">
        <f>C51*16.85/K51</f>
        <v>11.233333333333333</v>
      </c>
      <c r="J51" s="166" t="s">
        <v>183</v>
      </c>
      <c r="K51" s="2">
        <v>30</v>
      </c>
      <c r="L51" s="72">
        <v>30</v>
      </c>
      <c r="M51" s="2"/>
      <c r="N51" s="2"/>
    </row>
    <row r="52" spans="1:14" x14ac:dyDescent="0.25">
      <c r="A52" s="3"/>
      <c r="B52" s="134" t="s">
        <v>56</v>
      </c>
      <c r="C52" s="154"/>
      <c r="D52" s="224">
        <f>C51*1.5/K51</f>
        <v>1</v>
      </c>
      <c r="E52" s="224">
        <v>1</v>
      </c>
      <c r="F52" s="130"/>
      <c r="G52" s="130"/>
      <c r="H52" s="130"/>
      <c r="I52" s="130"/>
      <c r="J52" s="4" t="s">
        <v>16</v>
      </c>
      <c r="K52" s="2"/>
      <c r="L52" s="2"/>
      <c r="M52" s="2"/>
      <c r="N52" s="2"/>
    </row>
    <row r="53" spans="1:14" x14ac:dyDescent="0.25">
      <c r="A53" s="3"/>
      <c r="B53" s="134" t="s">
        <v>22</v>
      </c>
      <c r="C53" s="154"/>
      <c r="D53" s="224">
        <f>C51*1.5/K51</f>
        <v>1</v>
      </c>
      <c r="E53" s="224">
        <v>1</v>
      </c>
      <c r="F53" s="130"/>
      <c r="G53" s="130"/>
      <c r="H53" s="130"/>
      <c r="I53" s="130"/>
      <c r="J53" s="166"/>
      <c r="K53" s="2"/>
      <c r="L53" s="2"/>
      <c r="M53" s="2"/>
      <c r="N53" s="2"/>
    </row>
    <row r="54" spans="1:14" x14ac:dyDescent="0.25">
      <c r="A54" s="3"/>
      <c r="B54" s="134" t="s">
        <v>55</v>
      </c>
      <c r="C54" s="154"/>
      <c r="D54" s="224">
        <v>1.2</v>
      </c>
      <c r="E54" s="224">
        <v>1.2</v>
      </c>
      <c r="F54" s="130"/>
      <c r="G54" s="130"/>
      <c r="H54" s="130"/>
      <c r="I54" s="130"/>
      <c r="J54" s="166"/>
      <c r="K54" s="2"/>
      <c r="L54" s="2"/>
      <c r="M54" s="2"/>
      <c r="N54" s="2"/>
    </row>
    <row r="55" spans="1:14" x14ac:dyDescent="0.25">
      <c r="A55" s="3"/>
      <c r="B55" s="134" t="s">
        <v>19</v>
      </c>
      <c r="C55" s="154"/>
      <c r="D55" s="224">
        <f>C51*0.54/K51</f>
        <v>0.36000000000000004</v>
      </c>
      <c r="E55" s="224">
        <v>0.36</v>
      </c>
      <c r="F55" s="130"/>
      <c r="G55" s="130"/>
      <c r="H55" s="130"/>
      <c r="I55" s="130"/>
      <c r="J55" s="166"/>
      <c r="K55" s="2"/>
      <c r="L55" s="2"/>
      <c r="M55" s="2"/>
      <c r="N55" s="2"/>
    </row>
    <row r="56" spans="1:14" x14ac:dyDescent="0.25">
      <c r="A56" s="3"/>
      <c r="B56" s="134" t="s">
        <v>20</v>
      </c>
      <c r="C56" s="154"/>
      <c r="D56" s="224">
        <f>C51*0.3/K51</f>
        <v>0.2</v>
      </c>
      <c r="E56" s="224">
        <v>0.2</v>
      </c>
      <c r="F56" s="130"/>
      <c r="G56" s="130"/>
      <c r="H56" s="130"/>
      <c r="I56" s="130"/>
      <c r="J56" s="166"/>
      <c r="K56" s="2"/>
      <c r="L56" s="2"/>
      <c r="M56" s="2"/>
      <c r="N56" s="2"/>
    </row>
    <row r="57" spans="1:14" x14ac:dyDescent="0.25">
      <c r="A57" s="3"/>
      <c r="B57" s="97" t="s">
        <v>394</v>
      </c>
      <c r="C57" s="126">
        <v>110</v>
      </c>
      <c r="D57" s="127"/>
      <c r="E57" s="127"/>
      <c r="F57" s="126">
        <v>2.34</v>
      </c>
      <c r="G57" s="126">
        <f>C57*6.06/K57</f>
        <v>4.4439999999999991</v>
      </c>
      <c r="H57" s="126">
        <f>C57*23.3/K57</f>
        <v>17.086666666666666</v>
      </c>
      <c r="I57" s="126">
        <v>117.66</v>
      </c>
      <c r="J57" s="166" t="s">
        <v>255</v>
      </c>
      <c r="K57" s="2">
        <v>150</v>
      </c>
      <c r="L57" s="2"/>
      <c r="M57" s="2"/>
      <c r="N57" s="2"/>
    </row>
    <row r="58" spans="1:14" x14ac:dyDescent="0.25">
      <c r="A58" s="3"/>
      <c r="B58" s="66" t="s">
        <v>47</v>
      </c>
      <c r="C58" s="122"/>
      <c r="D58" s="127">
        <f>C57*169.5/K57</f>
        <v>124.3</v>
      </c>
      <c r="E58" s="127">
        <f>C57*126/K57</f>
        <v>92.4</v>
      </c>
      <c r="F58" s="122"/>
      <c r="G58" s="122"/>
      <c r="H58" s="122"/>
      <c r="I58" s="122"/>
      <c r="J58" s="4" t="s">
        <v>16</v>
      </c>
      <c r="K58" s="2"/>
      <c r="L58" s="2"/>
      <c r="M58" s="2"/>
      <c r="N58" s="2"/>
    </row>
    <row r="59" spans="1:14" x14ac:dyDescent="0.25">
      <c r="A59" s="3"/>
      <c r="B59" s="66" t="s">
        <v>26</v>
      </c>
      <c r="C59" s="122"/>
      <c r="D59" s="127">
        <f>C57*24/K57</f>
        <v>17.600000000000001</v>
      </c>
      <c r="E59" s="127">
        <v>17.600000000000001</v>
      </c>
      <c r="F59" s="159"/>
      <c r="G59" s="159"/>
      <c r="H59" s="159"/>
      <c r="I59" s="159"/>
      <c r="J59" s="171"/>
      <c r="K59" s="2"/>
      <c r="L59" s="2"/>
      <c r="M59" s="2"/>
      <c r="N59" s="2"/>
    </row>
    <row r="60" spans="1:14" x14ac:dyDescent="0.25">
      <c r="A60" s="3"/>
      <c r="B60" s="66" t="s">
        <v>22</v>
      </c>
      <c r="C60" s="122"/>
      <c r="D60" s="127">
        <f>$C$57*6.75/$K$57</f>
        <v>4.95</v>
      </c>
      <c r="E60" s="127">
        <f>$C$57*6.75/$K$57</f>
        <v>4.95</v>
      </c>
      <c r="F60" s="122"/>
      <c r="G60" s="122"/>
      <c r="H60" s="122"/>
      <c r="I60" s="122"/>
      <c r="J60" s="171"/>
      <c r="K60" s="2"/>
      <c r="L60" s="2"/>
      <c r="M60" s="2"/>
      <c r="N60" s="2"/>
    </row>
    <row r="61" spans="1:14" x14ac:dyDescent="0.25">
      <c r="A61" s="3"/>
      <c r="B61" s="66" t="s">
        <v>20</v>
      </c>
      <c r="C61" s="122"/>
      <c r="D61" s="127">
        <v>0.5</v>
      </c>
      <c r="E61" s="127">
        <v>0.5</v>
      </c>
      <c r="F61" s="122"/>
      <c r="G61" s="122"/>
      <c r="H61" s="122"/>
      <c r="I61" s="122"/>
      <c r="J61" s="3"/>
      <c r="K61" s="2"/>
      <c r="L61" s="2"/>
      <c r="M61" s="2"/>
      <c r="N61" s="2"/>
    </row>
    <row r="62" spans="1:14" ht="47.25" x14ac:dyDescent="0.25">
      <c r="A62" s="3"/>
      <c r="B62" s="163" t="s">
        <v>67</v>
      </c>
      <c r="C62" s="126">
        <v>150</v>
      </c>
      <c r="D62" s="4"/>
      <c r="E62" s="4"/>
      <c r="F62" s="46">
        <v>0.4</v>
      </c>
      <c r="G62" s="46">
        <v>0</v>
      </c>
      <c r="H62" s="46">
        <v>20.91</v>
      </c>
      <c r="I62" s="46">
        <v>85.33</v>
      </c>
      <c r="J62" s="314" t="s">
        <v>448</v>
      </c>
      <c r="K62" s="72">
        <v>190</v>
      </c>
      <c r="L62" s="2"/>
      <c r="M62" s="2"/>
      <c r="N62" s="2"/>
    </row>
    <row r="63" spans="1:14" x14ac:dyDescent="0.25">
      <c r="A63" s="3"/>
      <c r="B63" s="164" t="s">
        <v>68</v>
      </c>
      <c r="C63" s="122"/>
      <c r="D63" s="130">
        <v>15</v>
      </c>
      <c r="E63" s="130">
        <v>15</v>
      </c>
      <c r="F63" s="4"/>
      <c r="G63" s="4"/>
      <c r="H63" s="4"/>
      <c r="I63" s="4"/>
      <c r="J63" s="4"/>
      <c r="K63" s="2">
        <v>190</v>
      </c>
      <c r="L63" s="2"/>
      <c r="M63" s="2"/>
      <c r="N63" s="2"/>
    </row>
    <row r="64" spans="1:14" x14ac:dyDescent="0.25">
      <c r="A64" s="3"/>
      <c r="B64" s="66" t="s">
        <v>19</v>
      </c>
      <c r="C64" s="122"/>
      <c r="D64" s="130">
        <v>15</v>
      </c>
      <c r="E64" s="130">
        <v>15</v>
      </c>
      <c r="F64" s="4"/>
      <c r="G64" s="4"/>
      <c r="H64" s="4"/>
      <c r="I64" s="4"/>
      <c r="J64" s="3"/>
      <c r="K64" s="2"/>
      <c r="L64" s="2"/>
      <c r="M64" s="2"/>
      <c r="N64" s="2"/>
    </row>
    <row r="65" spans="1:20" x14ac:dyDescent="0.25">
      <c r="A65" s="3"/>
      <c r="B65" s="66" t="s">
        <v>446</v>
      </c>
      <c r="C65" s="122"/>
      <c r="D65" s="130">
        <v>0.15</v>
      </c>
      <c r="E65" s="130">
        <v>0.15</v>
      </c>
      <c r="F65" s="4"/>
      <c r="G65" s="4"/>
      <c r="H65" s="4"/>
      <c r="I65" s="4"/>
      <c r="J65" s="3"/>
      <c r="K65" s="2"/>
      <c r="L65" s="2"/>
      <c r="M65" s="2"/>
      <c r="N65" s="2"/>
    </row>
    <row r="66" spans="1:20" x14ac:dyDescent="0.25">
      <c r="A66" s="3"/>
      <c r="B66" s="66" t="s">
        <v>27</v>
      </c>
      <c r="C66" s="122"/>
      <c r="D66" s="130">
        <v>150</v>
      </c>
      <c r="E66" s="130">
        <v>150</v>
      </c>
      <c r="F66" s="4"/>
      <c r="G66" s="4"/>
      <c r="H66" s="4"/>
      <c r="I66" s="4"/>
      <c r="J66" s="3"/>
      <c r="K66" s="2"/>
      <c r="L66" s="2"/>
      <c r="M66" s="2"/>
      <c r="N66" s="2"/>
    </row>
    <row r="67" spans="1:20" x14ac:dyDescent="0.25">
      <c r="A67" s="3"/>
      <c r="B67" s="97" t="s">
        <v>28</v>
      </c>
      <c r="C67" s="126">
        <v>20</v>
      </c>
      <c r="D67" s="122">
        <f>C67</f>
        <v>20</v>
      </c>
      <c r="E67" s="122">
        <f>C67</f>
        <v>20</v>
      </c>
      <c r="F67" s="126">
        <f>C67*1.52/20</f>
        <v>1.52</v>
      </c>
      <c r="G67" s="126">
        <f>C67*0.18/K67</f>
        <v>0.18</v>
      </c>
      <c r="H67" s="126">
        <f>C67*9.34/K67</f>
        <v>9.34</v>
      </c>
      <c r="I67" s="126">
        <f>C67*46.2/K67</f>
        <v>46.2</v>
      </c>
      <c r="J67" s="66"/>
      <c r="K67" s="72">
        <v>20</v>
      </c>
      <c r="L67" s="2"/>
      <c r="M67" s="2"/>
      <c r="N67" s="2"/>
    </row>
    <row r="68" spans="1:20" x14ac:dyDescent="0.25">
      <c r="A68" s="3"/>
      <c r="B68" s="125" t="s">
        <v>447</v>
      </c>
      <c r="C68" s="129">
        <v>20</v>
      </c>
      <c r="D68" s="130">
        <f>C68</f>
        <v>20</v>
      </c>
      <c r="E68" s="130">
        <f>C68</f>
        <v>20</v>
      </c>
      <c r="F68" s="129">
        <f>C68*1.54/K68</f>
        <v>1.54</v>
      </c>
      <c r="G68" s="129">
        <f>C68*0.28/K68</f>
        <v>0.28000000000000003</v>
      </c>
      <c r="H68" s="129">
        <f>C68*7.52/K68</f>
        <v>7.5199999999999987</v>
      </c>
      <c r="I68" s="129">
        <f>C68*40.2/K68</f>
        <v>40.200000000000003</v>
      </c>
      <c r="J68" s="3"/>
      <c r="K68" s="72">
        <v>20</v>
      </c>
      <c r="L68" s="2"/>
      <c r="M68" s="2"/>
      <c r="N68" s="2"/>
    </row>
    <row r="69" spans="1:20" x14ac:dyDescent="0.25">
      <c r="A69" s="5" t="s">
        <v>69</v>
      </c>
      <c r="B69" s="6"/>
      <c r="C69" s="8">
        <f>SUM(C25:C68)</f>
        <v>735</v>
      </c>
      <c r="D69" s="77"/>
      <c r="E69" s="77"/>
      <c r="F69" s="165">
        <f>SUM(F25:F68)</f>
        <v>17.66</v>
      </c>
      <c r="G69" s="165">
        <f>SUM(G25:G68)</f>
        <v>16.274476190476189</v>
      </c>
      <c r="H69" s="165">
        <f>SUM(H25:H68)</f>
        <v>71.283333333333331</v>
      </c>
      <c r="I69" s="165">
        <f>SUM(I25:I68)</f>
        <v>503.74333333333328</v>
      </c>
      <c r="J69" s="6"/>
      <c r="K69" s="2"/>
      <c r="L69" s="69"/>
      <c r="M69" s="69"/>
      <c r="N69" s="69"/>
      <c r="O69" s="205"/>
      <c r="P69" s="205"/>
      <c r="Q69" s="205"/>
      <c r="R69" s="205"/>
      <c r="S69" s="205"/>
      <c r="T69" s="205"/>
    </row>
    <row r="70" spans="1:20" ht="29.25" customHeight="1" x14ac:dyDescent="0.25">
      <c r="A70" s="166" t="s">
        <v>70</v>
      </c>
      <c r="B70" s="218" t="s">
        <v>371</v>
      </c>
      <c r="C70" s="219">
        <v>60</v>
      </c>
      <c r="D70" s="350">
        <v>50</v>
      </c>
      <c r="E70" s="220"/>
      <c r="F70" s="219">
        <v>5.89</v>
      </c>
      <c r="G70" s="219">
        <f>C70*1.39/K70</f>
        <v>1.39</v>
      </c>
      <c r="H70" s="219">
        <f>C70*34.68/K70</f>
        <v>34.68</v>
      </c>
      <c r="I70" s="219">
        <f>C70*174.72/K70</f>
        <v>174.72</v>
      </c>
      <c r="J70" s="46" t="s">
        <v>372</v>
      </c>
      <c r="K70" s="2">
        <v>60</v>
      </c>
      <c r="L70" s="351">
        <v>60</v>
      </c>
      <c r="M70" s="259"/>
      <c r="N70" s="263"/>
      <c r="O70" s="263"/>
      <c r="P70" s="259"/>
      <c r="Q70" s="259"/>
      <c r="R70" s="259"/>
      <c r="S70" s="259"/>
      <c r="T70" s="158"/>
    </row>
    <row r="71" spans="1:20" ht="19.5" customHeight="1" x14ac:dyDescent="0.25">
      <c r="A71" s="166"/>
      <c r="B71" s="352" t="s">
        <v>63</v>
      </c>
      <c r="C71" s="222"/>
      <c r="D71" s="220">
        <v>48</v>
      </c>
      <c r="E71" s="220">
        <v>48</v>
      </c>
      <c r="F71" s="222"/>
      <c r="G71" s="219"/>
      <c r="H71" s="219"/>
      <c r="I71" s="219"/>
      <c r="J71" s="46" t="s">
        <v>236</v>
      </c>
      <c r="K71" s="2"/>
      <c r="L71" s="353"/>
      <c r="M71" s="263"/>
      <c r="N71" s="263"/>
      <c r="O71" s="263"/>
      <c r="P71" s="263"/>
      <c r="Q71" s="259"/>
      <c r="R71" s="259"/>
      <c r="S71" s="259"/>
      <c r="T71" s="94"/>
    </row>
    <row r="72" spans="1:20" ht="19.5" customHeight="1" x14ac:dyDescent="0.25">
      <c r="A72" s="166"/>
      <c r="B72" s="352" t="s">
        <v>280</v>
      </c>
      <c r="C72" s="222"/>
      <c r="D72" s="220">
        <v>1.8</v>
      </c>
      <c r="E72" s="220">
        <v>1.8</v>
      </c>
      <c r="F72" s="222"/>
      <c r="G72" s="219"/>
      <c r="H72" s="219"/>
      <c r="I72" s="219"/>
      <c r="J72" s="46"/>
      <c r="K72" s="2"/>
      <c r="L72" s="353"/>
      <c r="M72" s="263"/>
      <c r="N72" s="263"/>
      <c r="O72" s="263"/>
      <c r="P72" s="263"/>
      <c r="Q72" s="259"/>
      <c r="R72" s="259"/>
      <c r="S72" s="259"/>
      <c r="T72" s="94"/>
    </row>
    <row r="73" spans="1:20" ht="16.5" customHeight="1" x14ac:dyDescent="0.25">
      <c r="A73" s="166"/>
      <c r="B73" s="352" t="s">
        <v>171</v>
      </c>
      <c r="C73" s="222"/>
      <c r="D73" s="220">
        <v>0.57999999999999996</v>
      </c>
      <c r="E73" s="220">
        <v>0.57999999999999996</v>
      </c>
      <c r="F73" s="222"/>
      <c r="G73" s="219"/>
      <c r="H73" s="219"/>
      <c r="I73" s="219"/>
      <c r="J73" s="66"/>
      <c r="K73" s="2"/>
      <c r="L73" s="353"/>
      <c r="M73" s="263"/>
      <c r="N73" s="263"/>
      <c r="O73" s="263"/>
      <c r="P73" s="263"/>
      <c r="Q73" s="259"/>
      <c r="R73" s="259"/>
      <c r="S73" s="259"/>
      <c r="T73" s="162"/>
    </row>
    <row r="74" spans="1:20" x14ac:dyDescent="0.25">
      <c r="A74" s="166"/>
      <c r="B74" s="352" t="s">
        <v>144</v>
      </c>
      <c r="C74" s="222"/>
      <c r="D74" s="220">
        <f>C70*24/K70</f>
        <v>24</v>
      </c>
      <c r="E74" s="220">
        <v>24</v>
      </c>
      <c r="F74" s="222"/>
      <c r="G74" s="219"/>
      <c r="H74" s="219"/>
      <c r="I74" s="219"/>
      <c r="J74" s="66"/>
      <c r="K74" s="2"/>
      <c r="L74" s="353"/>
      <c r="M74" s="263"/>
      <c r="N74" s="263"/>
      <c r="O74" s="263"/>
      <c r="P74" s="263"/>
      <c r="Q74" s="259"/>
      <c r="R74" s="259"/>
      <c r="S74" s="259"/>
      <c r="T74" s="162"/>
    </row>
    <row r="75" spans="1:20" ht="14.25" customHeight="1" x14ac:dyDescent="0.25">
      <c r="A75" s="166"/>
      <c r="B75" s="352" t="s">
        <v>20</v>
      </c>
      <c r="C75" s="222"/>
      <c r="D75" s="220">
        <v>0.57999999999999996</v>
      </c>
      <c r="E75" s="220">
        <v>0.57999999999999996</v>
      </c>
      <c r="F75" s="222"/>
      <c r="G75" s="219"/>
      <c r="H75" s="219"/>
      <c r="I75" s="219"/>
      <c r="J75" s="66"/>
      <c r="K75" s="2"/>
      <c r="L75" s="353"/>
      <c r="M75" s="263"/>
      <c r="N75" s="263"/>
      <c r="O75" s="263"/>
      <c r="P75" s="263"/>
      <c r="Q75" s="259"/>
      <c r="R75" s="259"/>
      <c r="S75" s="259"/>
      <c r="T75" s="162"/>
    </row>
    <row r="76" spans="1:20" ht="25.5" customHeight="1" x14ac:dyDescent="0.25">
      <c r="A76" s="166"/>
      <c r="B76" s="216" t="s">
        <v>175</v>
      </c>
      <c r="C76" s="222"/>
      <c r="D76" s="220">
        <f>C70*0.15/K70</f>
        <v>0.15</v>
      </c>
      <c r="E76" s="220">
        <v>0.15</v>
      </c>
      <c r="F76" s="222"/>
      <c r="G76" s="222"/>
      <c r="H76" s="222"/>
      <c r="I76" s="222"/>
      <c r="J76" s="66"/>
      <c r="K76" s="2"/>
      <c r="L76" s="354"/>
      <c r="M76" s="263"/>
      <c r="N76" s="263"/>
      <c r="O76" s="263"/>
      <c r="P76" s="263"/>
      <c r="Q76" s="263"/>
      <c r="R76" s="263"/>
      <c r="S76" s="263"/>
      <c r="T76" s="162"/>
    </row>
    <row r="77" spans="1:20" ht="27.75" customHeight="1" x14ac:dyDescent="0.25">
      <c r="A77" s="166"/>
      <c r="B77" s="172" t="s">
        <v>151</v>
      </c>
      <c r="C77" s="173">
        <v>180</v>
      </c>
      <c r="D77" s="174">
        <v>189</v>
      </c>
      <c r="E77" s="174">
        <f>C77*200/K77</f>
        <v>180</v>
      </c>
      <c r="F77" s="175">
        <v>5.0199999999999996</v>
      </c>
      <c r="G77" s="175">
        <v>5.74</v>
      </c>
      <c r="H77" s="175">
        <v>8.44</v>
      </c>
      <c r="I77" s="175">
        <v>105.57</v>
      </c>
      <c r="J77" s="166" t="s">
        <v>441</v>
      </c>
      <c r="K77" s="72">
        <v>200</v>
      </c>
      <c r="L77" s="69"/>
      <c r="M77" s="69"/>
      <c r="N77" s="69"/>
      <c r="O77" s="205"/>
      <c r="P77" s="205"/>
      <c r="Q77" s="205"/>
      <c r="R77" s="205"/>
      <c r="S77" s="205"/>
      <c r="T77" s="205"/>
    </row>
    <row r="78" spans="1:20" x14ac:dyDescent="0.25">
      <c r="A78" s="5" t="s">
        <v>72</v>
      </c>
      <c r="B78" s="6"/>
      <c r="C78" s="8">
        <f>SUM(C70:C77)</f>
        <v>240</v>
      </c>
      <c r="D78" s="77"/>
      <c r="E78" s="77"/>
      <c r="F78" s="165">
        <f>SUM(F70:F77)</f>
        <v>10.91</v>
      </c>
      <c r="G78" s="165">
        <f>SUM(G70:G77)</f>
        <v>7.13</v>
      </c>
      <c r="H78" s="165">
        <f>SUM(H70:H77)</f>
        <v>43.12</v>
      </c>
      <c r="I78" s="165">
        <f>SUM(I70:I77)</f>
        <v>280.28999999999996</v>
      </c>
      <c r="J78" s="6"/>
      <c r="K78" s="2"/>
      <c r="L78" s="69"/>
      <c r="M78" s="69"/>
      <c r="N78" s="69"/>
      <c r="O78" s="205"/>
      <c r="P78" s="205"/>
      <c r="Q78" s="205"/>
      <c r="R78" s="205"/>
      <c r="S78" s="205"/>
      <c r="T78" s="205"/>
    </row>
    <row r="79" spans="1:20" ht="31.5" x14ac:dyDescent="0.25">
      <c r="A79" s="166" t="s">
        <v>73</v>
      </c>
      <c r="B79" s="45" t="s">
        <v>316</v>
      </c>
      <c r="C79" s="149">
        <v>60</v>
      </c>
      <c r="D79" s="223"/>
      <c r="E79" s="223"/>
      <c r="F79" s="126">
        <v>9.15</v>
      </c>
      <c r="G79" s="126">
        <f>C79*9.97/K79</f>
        <v>8.5457142857142863</v>
      </c>
      <c r="H79" s="126">
        <f>C79*5.33/K79</f>
        <v>4.5685714285714285</v>
      </c>
      <c r="I79" s="126">
        <f>C79*153.79/K79</f>
        <v>131.82</v>
      </c>
      <c r="J79" s="166" t="s">
        <v>317</v>
      </c>
      <c r="K79" s="2">
        <v>70</v>
      </c>
      <c r="L79" s="69"/>
      <c r="M79" s="69"/>
      <c r="N79" s="69"/>
      <c r="O79" s="205"/>
      <c r="P79" s="205"/>
      <c r="Q79" s="205"/>
      <c r="R79" s="205"/>
      <c r="S79" s="205"/>
      <c r="T79" s="205"/>
    </row>
    <row r="80" spans="1:20" x14ac:dyDescent="0.25">
      <c r="A80" s="166"/>
      <c r="B80" s="206" t="s">
        <v>156</v>
      </c>
      <c r="C80" s="154"/>
      <c r="D80" s="224">
        <f>C79*57.1/K79</f>
        <v>48.942857142857143</v>
      </c>
      <c r="E80" s="224">
        <f>C79*52/K79</f>
        <v>44.571428571428569</v>
      </c>
      <c r="F80" s="126"/>
      <c r="G80" s="126"/>
      <c r="H80" s="126"/>
      <c r="I80" s="126"/>
      <c r="J80" s="4" t="s">
        <v>16</v>
      </c>
      <c r="K80" s="2"/>
      <c r="L80" s="2"/>
      <c r="M80" s="2"/>
      <c r="N80" s="2"/>
    </row>
    <row r="81" spans="1:23" x14ac:dyDescent="0.25">
      <c r="A81" s="166"/>
      <c r="B81" s="134" t="s">
        <v>178</v>
      </c>
      <c r="C81" s="154"/>
      <c r="D81" s="224">
        <f>$C$79*10.5/$K$79</f>
        <v>9</v>
      </c>
      <c r="E81" s="224">
        <f>$C$79*10.5/$K$79</f>
        <v>9</v>
      </c>
      <c r="F81" s="126"/>
      <c r="G81" s="126"/>
      <c r="H81" s="126"/>
      <c r="I81" s="126"/>
      <c r="J81" s="166"/>
      <c r="K81" s="2"/>
      <c r="L81" s="2"/>
      <c r="M81" s="2"/>
      <c r="N81" s="2"/>
    </row>
    <row r="82" spans="1:23" x14ac:dyDescent="0.25">
      <c r="A82" s="166"/>
      <c r="B82" s="134" t="s">
        <v>404</v>
      </c>
      <c r="C82" s="154"/>
      <c r="D82" s="224">
        <f>$C$79*18.2/$K$79</f>
        <v>15.6</v>
      </c>
      <c r="E82" s="224">
        <f>$C$79*18.2/$K$79</f>
        <v>15.6</v>
      </c>
      <c r="F82" s="126"/>
      <c r="G82" s="126"/>
      <c r="H82" s="126"/>
      <c r="I82" s="126"/>
      <c r="J82" s="166"/>
      <c r="K82" s="2"/>
      <c r="L82" s="2"/>
      <c r="M82" s="2"/>
      <c r="N82" s="2"/>
    </row>
    <row r="83" spans="1:23" x14ac:dyDescent="0.25">
      <c r="A83" s="166"/>
      <c r="B83" s="134" t="s">
        <v>180</v>
      </c>
      <c r="C83" s="154"/>
      <c r="D83" s="224">
        <f>$C$79*2/$K$79</f>
        <v>1.7142857142857142</v>
      </c>
      <c r="E83" s="224">
        <f>$C$79*2/$K$79</f>
        <v>1.7142857142857142</v>
      </c>
      <c r="F83" s="126"/>
      <c r="G83" s="126"/>
      <c r="H83" s="126"/>
      <c r="I83" s="126"/>
      <c r="J83" s="166"/>
      <c r="K83" s="2"/>
      <c r="L83" s="2"/>
      <c r="M83" s="2"/>
      <c r="N83" s="2"/>
    </row>
    <row r="84" spans="1:23" x14ac:dyDescent="0.25">
      <c r="A84" s="166"/>
      <c r="B84" s="66" t="s">
        <v>20</v>
      </c>
      <c r="C84" s="126"/>
      <c r="D84" s="127">
        <v>0.3</v>
      </c>
      <c r="E84" s="127">
        <v>0.3</v>
      </c>
      <c r="F84" s="126"/>
      <c r="G84" s="126"/>
      <c r="H84" s="126"/>
      <c r="I84" s="126"/>
      <c r="J84" s="166"/>
      <c r="K84" s="2"/>
      <c r="L84" s="2"/>
      <c r="M84" s="2"/>
      <c r="N84" s="2"/>
    </row>
    <row r="85" spans="1:23" x14ac:dyDescent="0.25">
      <c r="A85" s="166"/>
      <c r="B85" s="97" t="s">
        <v>65</v>
      </c>
      <c r="C85" s="126">
        <v>120</v>
      </c>
      <c r="D85" s="83"/>
      <c r="E85" s="83"/>
      <c r="F85" s="46">
        <v>3.14</v>
      </c>
      <c r="G85" s="46">
        <v>3.8769230769230769</v>
      </c>
      <c r="H85" s="46">
        <v>16.144615384615381</v>
      </c>
      <c r="I85" s="46">
        <v>104.59384615384616</v>
      </c>
      <c r="J85" s="46" t="s">
        <v>66</v>
      </c>
      <c r="K85" s="72">
        <v>120</v>
      </c>
      <c r="L85" s="2"/>
      <c r="M85" s="2"/>
      <c r="N85" s="2"/>
    </row>
    <row r="86" spans="1:23" x14ac:dyDescent="0.25">
      <c r="A86" s="166"/>
      <c r="B86" s="179" t="s">
        <v>59</v>
      </c>
      <c r="C86" s="122"/>
      <c r="D86" s="180">
        <v>157.80000000000001</v>
      </c>
      <c r="E86" s="180">
        <v>126</v>
      </c>
      <c r="F86" s="46"/>
      <c r="G86" s="46"/>
      <c r="H86" s="46"/>
      <c r="I86" s="46"/>
      <c r="J86" s="46" t="s">
        <v>16</v>
      </c>
      <c r="K86" s="2"/>
      <c r="L86" s="2"/>
      <c r="M86" s="2"/>
      <c r="N86" s="2"/>
    </row>
    <row r="87" spans="1:23" ht="31.5" x14ac:dyDescent="0.25">
      <c r="A87" s="166"/>
      <c r="B87" s="179" t="s">
        <v>60</v>
      </c>
      <c r="C87" s="122"/>
      <c r="D87" s="180">
        <v>5.4</v>
      </c>
      <c r="E87" s="180">
        <v>5.4</v>
      </c>
      <c r="F87" s="46"/>
      <c r="G87" s="46"/>
      <c r="H87" s="46"/>
      <c r="I87" s="46"/>
      <c r="J87" s="66"/>
      <c r="K87" s="2"/>
      <c r="L87" s="2"/>
      <c r="M87" s="2"/>
      <c r="N87" s="2"/>
    </row>
    <row r="88" spans="1:23" x14ac:dyDescent="0.25">
      <c r="A88" s="166"/>
      <c r="B88" s="179" t="s">
        <v>61</v>
      </c>
      <c r="C88" s="122"/>
      <c r="D88" s="180">
        <v>6</v>
      </c>
      <c r="E88" s="180">
        <v>4.8</v>
      </c>
      <c r="F88" s="46"/>
      <c r="G88" s="46"/>
      <c r="H88" s="46"/>
      <c r="I88" s="46"/>
      <c r="J88" s="66"/>
      <c r="K88" s="2"/>
      <c r="L88" s="2"/>
      <c r="M88" s="2"/>
      <c r="N88" s="2"/>
    </row>
    <row r="89" spans="1:23" x14ac:dyDescent="0.25">
      <c r="A89" s="166"/>
      <c r="B89" s="181" t="s">
        <v>62</v>
      </c>
      <c r="C89" s="122"/>
      <c r="D89" s="180">
        <v>8.5</v>
      </c>
      <c r="E89" s="180">
        <v>7.2</v>
      </c>
      <c r="F89" s="46"/>
      <c r="G89" s="46"/>
      <c r="H89" s="46"/>
      <c r="I89" s="46"/>
      <c r="J89" s="66"/>
      <c r="K89" s="2"/>
      <c r="L89" s="2"/>
      <c r="M89" s="2"/>
      <c r="N89" s="2"/>
    </row>
    <row r="90" spans="1:23" ht="31.5" x14ac:dyDescent="0.25">
      <c r="A90" s="166"/>
      <c r="B90" s="181" t="s">
        <v>36</v>
      </c>
      <c r="C90" s="122"/>
      <c r="D90" s="180">
        <v>3.8</v>
      </c>
      <c r="E90" s="180">
        <v>3.8</v>
      </c>
      <c r="F90" s="46"/>
      <c r="G90" s="46"/>
      <c r="H90" s="46"/>
      <c r="I90" s="46"/>
      <c r="J90" s="66"/>
      <c r="K90" s="2"/>
      <c r="L90" s="2"/>
      <c r="M90" s="2"/>
      <c r="N90" s="2"/>
    </row>
    <row r="91" spans="1:23" x14ac:dyDescent="0.25">
      <c r="A91" s="166"/>
      <c r="B91" s="179" t="s">
        <v>63</v>
      </c>
      <c r="C91" s="122"/>
      <c r="D91" s="180">
        <v>1.4</v>
      </c>
      <c r="E91" s="180">
        <v>1.4</v>
      </c>
      <c r="F91" s="46"/>
      <c r="G91" s="46"/>
      <c r="H91" s="46"/>
      <c r="I91" s="46"/>
      <c r="J91" s="66"/>
      <c r="K91" s="2"/>
      <c r="L91" s="2"/>
      <c r="M91" s="2"/>
      <c r="N91" s="2"/>
    </row>
    <row r="92" spans="1:23" x14ac:dyDescent="0.25">
      <c r="A92" s="166"/>
      <c r="B92" s="179" t="s">
        <v>64</v>
      </c>
      <c r="C92" s="122"/>
      <c r="D92" s="180">
        <v>162</v>
      </c>
      <c r="E92" s="180">
        <v>1.2</v>
      </c>
      <c r="F92" s="46"/>
      <c r="G92" s="46"/>
      <c r="H92" s="46"/>
      <c r="I92" s="46"/>
      <c r="J92" s="66"/>
      <c r="K92" s="2"/>
      <c r="L92" s="2"/>
      <c r="M92" s="2"/>
      <c r="N92" s="2"/>
    </row>
    <row r="93" spans="1:23" x14ac:dyDescent="0.25">
      <c r="A93" s="166"/>
      <c r="B93" s="179" t="s">
        <v>39</v>
      </c>
      <c r="C93" s="122"/>
      <c r="D93" s="180">
        <v>3.6</v>
      </c>
      <c r="E93" s="180">
        <v>3.6</v>
      </c>
      <c r="F93" s="46"/>
      <c r="G93" s="46"/>
      <c r="H93" s="46"/>
      <c r="I93" s="46"/>
      <c r="J93" s="66"/>
      <c r="K93" s="2"/>
      <c r="L93" s="2"/>
      <c r="M93" s="2"/>
      <c r="N93" s="2"/>
    </row>
    <row r="94" spans="1:23" x14ac:dyDescent="0.25">
      <c r="A94" s="166"/>
      <c r="B94" s="179" t="s">
        <v>20</v>
      </c>
      <c r="C94" s="122"/>
      <c r="D94" s="180">
        <v>0.55384615384615388</v>
      </c>
      <c r="E94" s="180">
        <v>0.55384615384615388</v>
      </c>
      <c r="F94" s="46"/>
      <c r="G94" s="46"/>
      <c r="H94" s="46"/>
      <c r="I94" s="46"/>
      <c r="J94" s="66"/>
      <c r="K94" s="2"/>
      <c r="L94" s="2"/>
      <c r="M94" s="2"/>
      <c r="N94" s="2"/>
    </row>
    <row r="95" spans="1:23" ht="31.5" x14ac:dyDescent="0.25">
      <c r="A95" s="3"/>
      <c r="B95" s="125" t="s">
        <v>412</v>
      </c>
      <c r="C95" s="126">
        <v>150</v>
      </c>
      <c r="D95" s="122"/>
      <c r="E95" s="122"/>
      <c r="F95" s="126">
        <v>0.15</v>
      </c>
      <c r="G95" s="126">
        <v>0</v>
      </c>
      <c r="H95" s="126">
        <v>4.87</v>
      </c>
      <c r="I95" s="126">
        <v>20.100000000000001</v>
      </c>
      <c r="J95" s="202" t="s">
        <v>426</v>
      </c>
      <c r="K95" s="72">
        <v>180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3"/>
      <c r="B96" s="66" t="s">
        <v>80</v>
      </c>
      <c r="C96" s="126"/>
      <c r="D96" s="127">
        <v>0.75</v>
      </c>
      <c r="E96" s="127">
        <v>0.75</v>
      </c>
      <c r="F96" s="126"/>
      <c r="G96" s="126"/>
      <c r="H96" s="126"/>
      <c r="I96" s="126"/>
      <c r="J96" s="46"/>
      <c r="K96" s="7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3"/>
      <c r="B97" s="66" t="s">
        <v>27</v>
      </c>
      <c r="C97" s="126"/>
      <c r="D97" s="127">
        <v>150</v>
      </c>
      <c r="E97" s="127">
        <v>150</v>
      </c>
      <c r="F97" s="126"/>
      <c r="G97" s="126"/>
      <c r="H97" s="126"/>
      <c r="I97" s="126"/>
      <c r="J97" s="3"/>
      <c r="K97" s="7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3"/>
      <c r="B98" s="66" t="s">
        <v>19</v>
      </c>
      <c r="C98" s="126"/>
      <c r="D98" s="122">
        <v>5.25</v>
      </c>
      <c r="E98" s="122">
        <v>5.25</v>
      </c>
      <c r="F98" s="126"/>
      <c r="G98" s="126"/>
      <c r="H98" s="126"/>
      <c r="I98" s="126"/>
      <c r="J98" s="3"/>
      <c r="K98" s="7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3"/>
      <c r="B99" s="97" t="s">
        <v>432</v>
      </c>
      <c r="C99" s="126">
        <v>95</v>
      </c>
      <c r="D99" s="122">
        <f>C99*167/K99</f>
        <v>158.65</v>
      </c>
      <c r="E99" s="122">
        <f>C99</f>
        <v>95</v>
      </c>
      <c r="F99" s="126">
        <f>C99*1.5/K99</f>
        <v>1.425</v>
      </c>
      <c r="G99" s="126">
        <f>C99*0.5/K99</f>
        <v>0.47499999999999998</v>
      </c>
      <c r="H99" s="126">
        <v>19.95</v>
      </c>
      <c r="I99" s="126">
        <f>C99*95/K99</f>
        <v>90.25</v>
      </c>
      <c r="J99" s="3"/>
      <c r="K99" s="72">
        <v>100</v>
      </c>
      <c r="L99" s="2"/>
      <c r="M99" s="2"/>
      <c r="N99" s="2"/>
    </row>
    <row r="100" spans="1:23" x14ac:dyDescent="0.25">
      <c r="A100" s="3"/>
      <c r="B100" s="97" t="s">
        <v>28</v>
      </c>
      <c r="C100" s="129">
        <v>10</v>
      </c>
      <c r="D100" s="130">
        <v>10</v>
      </c>
      <c r="E100" s="130">
        <v>10</v>
      </c>
      <c r="F100" s="355">
        <v>0.76</v>
      </c>
      <c r="G100" s="355">
        <v>0.09</v>
      </c>
      <c r="H100" s="355">
        <v>4.67</v>
      </c>
      <c r="I100" s="355">
        <v>23.1</v>
      </c>
      <c r="J100" s="3"/>
      <c r="K100" s="72">
        <v>20</v>
      </c>
      <c r="L100" s="2"/>
      <c r="M100" s="2"/>
      <c r="N100" s="2"/>
    </row>
    <row r="101" spans="1:23" x14ac:dyDescent="0.25">
      <c r="A101" s="3"/>
      <c r="B101" s="125" t="s">
        <v>84</v>
      </c>
      <c r="C101" s="129">
        <v>10</v>
      </c>
      <c r="D101" s="80">
        <f>C101</f>
        <v>10</v>
      </c>
      <c r="E101" s="80">
        <f>C101</f>
        <v>10</v>
      </c>
      <c r="F101" s="129">
        <f>C101*1.54/K101</f>
        <v>0.77</v>
      </c>
      <c r="G101" s="129">
        <f>C101*0.28/K101</f>
        <v>0.14000000000000001</v>
      </c>
      <c r="H101" s="129">
        <f>C101*7.52/K101</f>
        <v>3.7599999999999993</v>
      </c>
      <c r="I101" s="129">
        <f>C101*40.2/K101</f>
        <v>20.100000000000001</v>
      </c>
      <c r="J101" s="3"/>
      <c r="K101" s="72">
        <v>20</v>
      </c>
      <c r="L101" s="2"/>
      <c r="M101" s="2"/>
      <c r="N101" s="2"/>
    </row>
    <row r="102" spans="1:23" x14ac:dyDescent="0.25">
      <c r="A102" s="5" t="s">
        <v>81</v>
      </c>
      <c r="B102" s="5"/>
      <c r="C102" s="8">
        <f>SUM(C79:C101)</f>
        <v>445</v>
      </c>
      <c r="D102" s="165"/>
      <c r="E102" s="165"/>
      <c r="F102" s="225">
        <f>SUM(F79:F101)</f>
        <v>15.395000000000001</v>
      </c>
      <c r="G102" s="225">
        <f>SUM(G79:G101)</f>
        <v>13.127637362637364</v>
      </c>
      <c r="H102" s="225">
        <f>SUM(H79:H101)</f>
        <v>53.963186813186809</v>
      </c>
      <c r="I102" s="225">
        <f>SUM(I79:I101)</f>
        <v>389.96384615384619</v>
      </c>
      <c r="J102" s="5"/>
      <c r="K102" s="2"/>
      <c r="L102" s="2"/>
      <c r="M102" s="2"/>
      <c r="N102" s="2"/>
    </row>
    <row r="103" spans="1:23" x14ac:dyDescent="0.25">
      <c r="A103" s="13" t="s">
        <v>82</v>
      </c>
      <c r="B103" s="13"/>
      <c r="C103" s="13"/>
      <c r="D103" s="14"/>
      <c r="E103" s="14"/>
      <c r="F103" s="14">
        <f>F22+F24+F69+F78+F102</f>
        <v>80.811666666666653</v>
      </c>
      <c r="G103" s="14">
        <f>G22+G24+G69+G78+G102</f>
        <v>55.887446886446895</v>
      </c>
      <c r="H103" s="14">
        <f>H22+H24+H69+H78+H102</f>
        <v>238.83852014652015</v>
      </c>
      <c r="I103" s="14">
        <f>I22+I24+I69+I78+I102</f>
        <v>1777.4161794871793</v>
      </c>
      <c r="J103" s="13"/>
      <c r="K103" s="2"/>
      <c r="L103" s="2"/>
      <c r="M103" s="2"/>
      <c r="N103" s="2"/>
    </row>
    <row r="104" spans="1:23" ht="16.5" thickBot="1" x14ac:dyDescent="0.3">
      <c r="J104" s="2"/>
      <c r="K104" s="2"/>
      <c r="L104" s="2"/>
      <c r="M104" s="2"/>
      <c r="N104" s="2"/>
    </row>
    <row r="105" spans="1:23" ht="16.5" thickBot="1" x14ac:dyDescent="0.3">
      <c r="A105" s="182" t="s">
        <v>131</v>
      </c>
      <c r="B105" s="183" t="s">
        <v>132</v>
      </c>
      <c r="C105" s="184" t="s">
        <v>133</v>
      </c>
      <c r="D105" s="227" t="s">
        <v>134</v>
      </c>
      <c r="E105" s="228"/>
      <c r="F105" s="186"/>
      <c r="G105" s="186"/>
      <c r="H105" s="186"/>
      <c r="J105" s="2"/>
      <c r="K105" s="2"/>
      <c r="L105" s="2"/>
      <c r="M105" s="2"/>
      <c r="N105" s="2"/>
    </row>
    <row r="106" spans="1:23" x14ac:dyDescent="0.25">
      <c r="A106" s="187" t="s">
        <v>135</v>
      </c>
      <c r="B106" s="188">
        <f>I22</f>
        <v>539.01900000000001</v>
      </c>
      <c r="C106" s="189">
        <f>B106/B111*100</f>
        <v>30.325987026601609</v>
      </c>
      <c r="D106" s="190">
        <v>0.2</v>
      </c>
      <c r="E106" s="229"/>
      <c r="F106" s="70"/>
      <c r="G106" s="191"/>
      <c r="H106" s="192"/>
      <c r="J106" s="2"/>
      <c r="K106" s="2"/>
      <c r="L106" s="2"/>
      <c r="M106" s="2"/>
      <c r="N106" s="2"/>
    </row>
    <row r="107" spans="1:23" x14ac:dyDescent="0.25">
      <c r="A107" s="187" t="s">
        <v>136</v>
      </c>
      <c r="B107" s="188">
        <f>I24</f>
        <v>64.400000000000006</v>
      </c>
      <c r="C107" s="189">
        <f>B107/B111*100</f>
        <v>3.6232369629143757</v>
      </c>
      <c r="D107" s="190">
        <v>0.05</v>
      </c>
      <c r="E107" s="229"/>
      <c r="F107" s="70"/>
      <c r="G107" s="191"/>
      <c r="H107" s="192"/>
      <c r="J107" s="2"/>
      <c r="K107" s="2"/>
      <c r="L107" s="2"/>
      <c r="M107" s="2"/>
      <c r="N107" s="2"/>
    </row>
    <row r="108" spans="1:23" x14ac:dyDescent="0.25">
      <c r="A108" s="193" t="s">
        <v>137</v>
      </c>
      <c r="B108" s="194">
        <f>I69</f>
        <v>503.74333333333328</v>
      </c>
      <c r="C108" s="195">
        <f>B108/B111*100</f>
        <v>28.341327098680598</v>
      </c>
      <c r="D108" s="196">
        <v>0.35</v>
      </c>
      <c r="E108" s="229"/>
      <c r="F108" s="70"/>
      <c r="G108" s="191"/>
      <c r="H108" s="157"/>
      <c r="J108" s="2"/>
      <c r="K108" s="2"/>
      <c r="L108" s="2"/>
      <c r="M108" s="2"/>
      <c r="N108" s="2"/>
    </row>
    <row r="109" spans="1:23" x14ac:dyDescent="0.25">
      <c r="A109" s="193" t="s">
        <v>138</v>
      </c>
      <c r="B109" s="194">
        <f>I78</f>
        <v>280.28999999999996</v>
      </c>
      <c r="C109" s="195">
        <f>B109/B111*100</f>
        <v>15.769520005206058</v>
      </c>
      <c r="D109" s="196">
        <v>0.15</v>
      </c>
      <c r="E109" s="229"/>
      <c r="F109" s="70"/>
      <c r="G109" s="191"/>
      <c r="H109" s="192"/>
      <c r="J109" s="2"/>
      <c r="K109" s="2"/>
      <c r="L109" s="2"/>
      <c r="M109" s="2"/>
      <c r="N109" s="2"/>
    </row>
    <row r="110" spans="1:23" ht="16.5" thickBot="1" x14ac:dyDescent="0.3">
      <c r="A110" s="193" t="s">
        <v>139</v>
      </c>
      <c r="B110" s="194">
        <f>I102</f>
        <v>389.96384615384619</v>
      </c>
      <c r="C110" s="195">
        <f>B110/B111*100</f>
        <v>21.939928906597366</v>
      </c>
      <c r="D110" s="196">
        <v>0.25</v>
      </c>
      <c r="E110" s="229"/>
      <c r="F110" s="70"/>
      <c r="G110" s="191"/>
      <c r="H110" s="192"/>
      <c r="J110" s="2"/>
      <c r="K110" s="2"/>
      <c r="L110" s="2"/>
      <c r="M110" s="2"/>
      <c r="N110" s="2"/>
    </row>
    <row r="111" spans="1:23" ht="16.5" thickBot="1" x14ac:dyDescent="0.3">
      <c r="A111" s="197" t="s">
        <v>140</v>
      </c>
      <c r="B111" s="198">
        <f>SUM(B106:B110)</f>
        <v>1777.4161794871793</v>
      </c>
      <c r="C111" s="199"/>
      <c r="D111" s="230"/>
      <c r="E111" s="229"/>
      <c r="F111" s="70"/>
      <c r="G111" s="70"/>
      <c r="H111" s="70"/>
      <c r="J111" s="2"/>
      <c r="K111" s="2"/>
      <c r="L111" s="2"/>
      <c r="M111" s="2"/>
      <c r="N111" s="2"/>
    </row>
    <row r="112" spans="1:23" x14ac:dyDescent="0.25">
      <c r="J112" s="2"/>
      <c r="K112" s="2"/>
      <c r="L112" s="2"/>
      <c r="M112" s="2"/>
      <c r="N112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43"/>
  <sheetViews>
    <sheetView view="pageBreakPreview" zoomScaleSheetLayoutView="100" workbookViewId="0">
      <selection activeCell="A6" sqref="A6"/>
    </sheetView>
  </sheetViews>
  <sheetFormatPr defaultRowHeight="15.75" x14ac:dyDescent="0.25"/>
  <cols>
    <col min="1" max="1" width="17.7109375" style="124" customWidth="1"/>
    <col min="2" max="2" width="22.42578125" style="124" customWidth="1"/>
    <col min="3" max="11" width="9.140625" style="124"/>
    <col min="12" max="12" width="15.28515625" style="124" customWidth="1"/>
    <col min="13" max="16384" width="9.140625" style="124"/>
  </cols>
  <sheetData>
    <row r="1" spans="1:16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2"/>
      <c r="L1" s="2"/>
      <c r="M1" s="2"/>
      <c r="N1" s="2"/>
      <c r="O1" s="2"/>
      <c r="P1" s="2"/>
    </row>
    <row r="2" spans="1:16" x14ac:dyDescent="0.25">
      <c r="A2" s="2" t="s">
        <v>383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411" t="s">
        <v>1</v>
      </c>
      <c r="B4" s="411" t="s">
        <v>2</v>
      </c>
      <c r="C4" s="411" t="s">
        <v>3</v>
      </c>
      <c r="D4" s="413" t="s">
        <v>12</v>
      </c>
      <c r="E4" s="414"/>
      <c r="F4" s="409" t="s">
        <v>7</v>
      </c>
      <c r="G4" s="410"/>
      <c r="H4" s="410"/>
      <c r="I4" s="411" t="s">
        <v>8</v>
      </c>
      <c r="J4" s="409" t="s">
        <v>9</v>
      </c>
      <c r="K4" s="2"/>
      <c r="L4" s="2"/>
      <c r="M4" s="2"/>
      <c r="N4" s="2"/>
      <c r="O4" s="2"/>
      <c r="P4" s="2"/>
    </row>
    <row r="5" spans="1:16" x14ac:dyDescent="0.25">
      <c r="A5" s="412"/>
      <c r="B5" s="412"/>
      <c r="C5" s="412"/>
      <c r="D5" s="314" t="s">
        <v>10</v>
      </c>
      <c r="E5" s="314" t="s">
        <v>11</v>
      </c>
      <c r="F5" s="4" t="s">
        <v>4</v>
      </c>
      <c r="G5" s="4" t="s">
        <v>5</v>
      </c>
      <c r="H5" s="4" t="s">
        <v>6</v>
      </c>
      <c r="I5" s="412"/>
      <c r="J5" s="410"/>
      <c r="K5" s="2"/>
      <c r="L5" s="2"/>
      <c r="M5" s="2"/>
      <c r="N5" s="2"/>
      <c r="O5" s="2"/>
      <c r="P5" s="2"/>
    </row>
    <row r="6" spans="1:16" ht="31.5" x14ac:dyDescent="0.25">
      <c r="A6" s="201" t="s">
        <v>336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</row>
    <row r="7" spans="1:16" ht="42.75" customHeight="1" x14ac:dyDescent="0.25">
      <c r="A7" s="4" t="s">
        <v>14</v>
      </c>
      <c r="B7" s="15" t="s">
        <v>337</v>
      </c>
      <c r="C7" s="126">
        <v>150</v>
      </c>
      <c r="D7" s="122"/>
      <c r="E7" s="122"/>
      <c r="F7" s="126">
        <v>4.78</v>
      </c>
      <c r="G7" s="126">
        <v>6.1</v>
      </c>
      <c r="H7" s="126">
        <v>25.68</v>
      </c>
      <c r="I7" s="126">
        <v>176.41</v>
      </c>
      <c r="J7" s="4" t="s">
        <v>338</v>
      </c>
      <c r="K7" s="2"/>
      <c r="L7" s="2"/>
      <c r="M7" s="2"/>
      <c r="N7" s="2"/>
      <c r="O7" s="2"/>
      <c r="P7" s="2"/>
    </row>
    <row r="8" spans="1:16" x14ac:dyDescent="0.25">
      <c r="A8" s="3"/>
      <c r="B8" s="66" t="s">
        <v>169</v>
      </c>
      <c r="C8" s="122"/>
      <c r="D8" s="122">
        <v>8</v>
      </c>
      <c r="E8" s="122">
        <v>8</v>
      </c>
      <c r="F8" s="126"/>
      <c r="G8" s="126"/>
      <c r="H8" s="126"/>
      <c r="I8" s="126"/>
      <c r="J8" s="4" t="s">
        <v>16</v>
      </c>
      <c r="K8" s="2"/>
      <c r="L8" s="2"/>
      <c r="M8" s="2"/>
      <c r="N8" s="2"/>
      <c r="O8" s="2"/>
      <c r="P8" s="2"/>
    </row>
    <row r="9" spans="1:16" x14ac:dyDescent="0.25">
      <c r="A9" s="3"/>
      <c r="B9" s="66" t="s">
        <v>339</v>
      </c>
      <c r="C9" s="122"/>
      <c r="D9" s="122">
        <v>10.8</v>
      </c>
      <c r="E9" s="122">
        <v>10.8</v>
      </c>
      <c r="F9" s="126"/>
      <c r="G9" s="126"/>
      <c r="H9" s="126"/>
      <c r="I9" s="126"/>
      <c r="J9" s="4"/>
      <c r="K9" s="2"/>
      <c r="L9" s="2"/>
      <c r="M9" s="2"/>
      <c r="N9" s="2"/>
      <c r="O9" s="2"/>
      <c r="P9" s="2"/>
    </row>
    <row r="10" spans="1:16" x14ac:dyDescent="0.25">
      <c r="A10" s="3"/>
      <c r="B10" s="123" t="s">
        <v>18</v>
      </c>
      <c r="C10" s="122"/>
      <c r="D10" s="122">
        <v>74</v>
      </c>
      <c r="E10" s="122">
        <v>74</v>
      </c>
      <c r="F10" s="126"/>
      <c r="G10" s="126"/>
      <c r="H10" s="126"/>
      <c r="I10" s="126"/>
      <c r="J10" s="3"/>
      <c r="K10" s="2"/>
      <c r="L10" s="2"/>
      <c r="M10" s="2"/>
      <c r="N10" s="2"/>
      <c r="O10" s="2"/>
      <c r="P10" s="2"/>
    </row>
    <row r="11" spans="1:16" x14ac:dyDescent="0.25">
      <c r="A11" s="3"/>
      <c r="B11" s="123" t="s">
        <v>27</v>
      </c>
      <c r="C11" s="122"/>
      <c r="D11" s="122">
        <v>50.75</v>
      </c>
      <c r="E11" s="122" t="s">
        <v>449</v>
      </c>
      <c r="F11" s="126"/>
      <c r="G11" s="126"/>
      <c r="H11" s="126"/>
      <c r="I11" s="126"/>
      <c r="J11" s="3"/>
      <c r="K11" s="2"/>
      <c r="L11" s="2"/>
      <c r="M11" s="2"/>
      <c r="N11" s="2"/>
      <c r="O11" s="2"/>
      <c r="P11" s="2"/>
    </row>
    <row r="12" spans="1:16" x14ac:dyDescent="0.25">
      <c r="A12" s="3"/>
      <c r="B12" s="66" t="s">
        <v>19</v>
      </c>
      <c r="C12" s="122"/>
      <c r="D12" s="122">
        <v>3.6</v>
      </c>
      <c r="E12" s="122">
        <v>3.6</v>
      </c>
      <c r="F12" s="126"/>
      <c r="G12" s="126"/>
      <c r="H12" s="126"/>
      <c r="I12" s="126"/>
      <c r="J12" s="3"/>
      <c r="K12" s="2"/>
      <c r="L12" s="2"/>
      <c r="M12" s="2"/>
      <c r="N12" s="2"/>
      <c r="O12" s="2"/>
      <c r="P12" s="2"/>
    </row>
    <row r="13" spans="1:16" x14ac:dyDescent="0.25">
      <c r="A13" s="3"/>
      <c r="B13" s="66" t="s">
        <v>20</v>
      </c>
      <c r="C13" s="122"/>
      <c r="D13" s="122">
        <v>0.6</v>
      </c>
      <c r="E13" s="122">
        <v>0.6</v>
      </c>
      <c r="F13" s="126"/>
      <c r="G13" s="126"/>
      <c r="H13" s="126"/>
      <c r="I13" s="126"/>
      <c r="J13" s="3"/>
      <c r="K13" s="2"/>
      <c r="L13" s="2"/>
      <c r="M13" s="2"/>
      <c r="N13" s="2"/>
      <c r="O13" s="2"/>
      <c r="P13" s="2"/>
    </row>
    <row r="14" spans="1:16" x14ac:dyDescent="0.25">
      <c r="A14" s="3"/>
      <c r="B14" s="46" t="s">
        <v>21</v>
      </c>
      <c r="C14" s="122"/>
      <c r="D14" s="122"/>
      <c r="E14" s="126">
        <v>145</v>
      </c>
      <c r="F14" s="126"/>
      <c r="G14" s="126"/>
      <c r="H14" s="126"/>
      <c r="I14" s="126"/>
      <c r="J14" s="3"/>
      <c r="K14" s="2"/>
      <c r="L14" s="2"/>
      <c r="M14" s="2"/>
      <c r="N14" s="2"/>
      <c r="O14" s="2"/>
      <c r="P14" s="2"/>
    </row>
    <row r="15" spans="1:16" x14ac:dyDescent="0.25">
      <c r="A15" s="3"/>
      <c r="B15" s="66" t="s">
        <v>22</v>
      </c>
      <c r="C15" s="122"/>
      <c r="D15" s="122">
        <v>5</v>
      </c>
      <c r="E15" s="122">
        <v>5</v>
      </c>
      <c r="F15" s="126"/>
      <c r="G15" s="126"/>
      <c r="H15" s="126"/>
      <c r="I15" s="126"/>
      <c r="J15" s="3"/>
      <c r="K15" s="2"/>
      <c r="L15" s="2"/>
      <c r="M15" s="2"/>
      <c r="N15" s="2"/>
      <c r="O15" s="2"/>
      <c r="P15" s="2"/>
    </row>
    <row r="16" spans="1:16" x14ac:dyDescent="0.25">
      <c r="A16" s="3"/>
      <c r="B16" s="97" t="s">
        <v>23</v>
      </c>
      <c r="C16" s="129">
        <v>10</v>
      </c>
      <c r="D16" s="80">
        <f>C16*16.5/K16</f>
        <v>11</v>
      </c>
      <c r="E16" s="80">
        <f>C16</f>
        <v>10</v>
      </c>
      <c r="F16" s="126">
        <f>C16*3.9/K16</f>
        <v>2.6</v>
      </c>
      <c r="G16" s="126">
        <f>C16*4.02/K16</f>
        <v>2.6799999999999997</v>
      </c>
      <c r="H16" s="126">
        <v>0</v>
      </c>
      <c r="I16" s="126">
        <f>C16*52.8/K16</f>
        <v>35.200000000000003</v>
      </c>
      <c r="J16" s="3"/>
      <c r="K16" s="2">
        <v>15</v>
      </c>
      <c r="L16" s="2"/>
      <c r="M16" s="2"/>
      <c r="N16" s="2"/>
      <c r="O16" s="2"/>
      <c r="P16" s="2"/>
    </row>
    <row r="17" spans="1:20" ht="18" customHeight="1" x14ac:dyDescent="0.25">
      <c r="A17" s="3"/>
      <c r="B17" s="131" t="s">
        <v>196</v>
      </c>
      <c r="C17" s="129">
        <v>150</v>
      </c>
      <c r="D17" s="133"/>
      <c r="E17" s="133"/>
      <c r="F17" s="232">
        <v>1.05</v>
      </c>
      <c r="G17" s="232">
        <v>1.2</v>
      </c>
      <c r="H17" s="232">
        <v>12.3</v>
      </c>
      <c r="I17" s="232">
        <v>64.5</v>
      </c>
      <c r="J17" s="4" t="s">
        <v>461</v>
      </c>
      <c r="K17" s="2"/>
      <c r="L17" s="2"/>
      <c r="M17" s="2"/>
      <c r="N17" s="2"/>
      <c r="O17" s="2"/>
      <c r="P17" s="2"/>
    </row>
    <row r="18" spans="1:20" x14ac:dyDescent="0.25">
      <c r="A18" s="3"/>
      <c r="B18" s="134" t="s">
        <v>80</v>
      </c>
      <c r="C18" s="135"/>
      <c r="D18" s="135">
        <v>0.5</v>
      </c>
      <c r="E18" s="135">
        <v>0.5</v>
      </c>
      <c r="F18" s="130"/>
      <c r="G18" s="130"/>
      <c r="H18" s="130"/>
      <c r="I18" s="130"/>
      <c r="J18" s="4" t="s">
        <v>460</v>
      </c>
      <c r="K18" s="2"/>
      <c r="L18" s="2"/>
      <c r="M18" s="2"/>
      <c r="N18" s="2"/>
      <c r="O18" s="2"/>
      <c r="P18" s="2"/>
    </row>
    <row r="19" spans="1:20" x14ac:dyDescent="0.25">
      <c r="A19" s="3"/>
      <c r="B19" s="134" t="s">
        <v>197</v>
      </c>
      <c r="C19" s="135"/>
      <c r="D19" s="135">
        <v>90</v>
      </c>
      <c r="E19" s="135">
        <v>90</v>
      </c>
      <c r="F19" s="130"/>
      <c r="G19" s="130"/>
      <c r="H19" s="130"/>
      <c r="I19" s="130"/>
      <c r="J19" s="3"/>
      <c r="K19" s="2"/>
      <c r="L19" s="2"/>
      <c r="M19" s="2"/>
      <c r="N19" s="2"/>
      <c r="O19" s="2"/>
      <c r="P19" s="2"/>
    </row>
    <row r="20" spans="1:20" x14ac:dyDescent="0.25">
      <c r="A20" s="3"/>
      <c r="B20" s="134" t="s">
        <v>144</v>
      </c>
      <c r="C20" s="135"/>
      <c r="D20" s="135">
        <v>45</v>
      </c>
      <c r="E20" s="135">
        <v>45</v>
      </c>
      <c r="F20" s="130"/>
      <c r="G20" s="130"/>
      <c r="H20" s="130"/>
      <c r="I20" s="130"/>
      <c r="J20" s="3"/>
      <c r="K20" s="2"/>
      <c r="L20" s="2"/>
      <c r="M20" s="2"/>
      <c r="N20" s="2"/>
      <c r="O20" s="2"/>
      <c r="P20" s="2"/>
    </row>
    <row r="21" spans="1:20" x14ac:dyDescent="0.25">
      <c r="A21" s="3"/>
      <c r="B21" s="134" t="s">
        <v>39</v>
      </c>
      <c r="C21" s="135"/>
      <c r="D21" s="135">
        <v>11.3</v>
      </c>
      <c r="E21" s="135">
        <v>11.3</v>
      </c>
      <c r="F21" s="130"/>
      <c r="G21" s="130"/>
      <c r="H21" s="130"/>
      <c r="I21" s="130"/>
      <c r="J21" s="3"/>
      <c r="K21" s="2"/>
      <c r="L21" s="2"/>
      <c r="M21" s="2"/>
      <c r="N21" s="2"/>
      <c r="O21" s="2"/>
      <c r="P21" s="2"/>
    </row>
    <row r="22" spans="1:20" x14ac:dyDescent="0.25">
      <c r="A22" s="3"/>
      <c r="B22" s="97" t="s">
        <v>28</v>
      </c>
      <c r="C22" s="129">
        <v>20</v>
      </c>
      <c r="D22" s="130">
        <v>20</v>
      </c>
      <c r="E22" s="130">
        <v>20</v>
      </c>
      <c r="F22" s="126">
        <v>1.52</v>
      </c>
      <c r="G22" s="126">
        <v>0.18</v>
      </c>
      <c r="H22" s="126">
        <v>9.34</v>
      </c>
      <c r="I22" s="126">
        <v>46.2</v>
      </c>
      <c r="J22" s="3"/>
      <c r="K22" s="72">
        <v>20</v>
      </c>
      <c r="L22" s="2"/>
      <c r="M22" s="2"/>
      <c r="N22" s="2"/>
      <c r="O22" s="2"/>
      <c r="P22" s="2"/>
    </row>
    <row r="23" spans="1:20" x14ac:dyDescent="0.25">
      <c r="A23" s="3"/>
      <c r="B23" s="125" t="s">
        <v>84</v>
      </c>
      <c r="C23" s="129">
        <v>20</v>
      </c>
      <c r="D23" s="130">
        <v>20</v>
      </c>
      <c r="E23" s="130">
        <v>20</v>
      </c>
      <c r="F23" s="129">
        <v>1.54</v>
      </c>
      <c r="G23" s="129">
        <v>0.28000000000000003</v>
      </c>
      <c r="H23" s="129">
        <v>7.5199999999999987</v>
      </c>
      <c r="I23" s="129">
        <v>40.200000000000003</v>
      </c>
      <c r="J23" s="3"/>
      <c r="K23" s="72">
        <v>20</v>
      </c>
      <c r="L23" s="2"/>
      <c r="M23" s="2"/>
      <c r="N23" s="2"/>
      <c r="O23" s="2"/>
      <c r="P23" s="2"/>
    </row>
    <row r="24" spans="1:20" x14ac:dyDescent="0.25">
      <c r="A24" s="5" t="s">
        <v>30</v>
      </c>
      <c r="B24" s="6"/>
      <c r="C24" s="8">
        <f>SUM(C7:C23)</f>
        <v>350</v>
      </c>
      <c r="D24" s="6"/>
      <c r="E24" s="6"/>
      <c r="F24" s="8">
        <f>SUM(F7:F23)</f>
        <v>11.490000000000002</v>
      </c>
      <c r="G24" s="8">
        <f>SUM(G7:G23)</f>
        <v>10.439999999999998</v>
      </c>
      <c r="H24" s="8">
        <f>SUM(H7:H23)</f>
        <v>54.84</v>
      </c>
      <c r="I24" s="8">
        <f>SUM(I7:I23)</f>
        <v>362.51</v>
      </c>
      <c r="J24" s="6"/>
      <c r="K24" s="2"/>
      <c r="L24" s="2"/>
      <c r="M24" s="2"/>
      <c r="N24" s="2"/>
      <c r="O24" s="2"/>
      <c r="P24" s="2"/>
    </row>
    <row r="25" spans="1:20" x14ac:dyDescent="0.25">
      <c r="A25" s="4" t="s">
        <v>31</v>
      </c>
      <c r="B25" s="97" t="s">
        <v>407</v>
      </c>
      <c r="C25" s="126">
        <v>140</v>
      </c>
      <c r="D25" s="122">
        <f>C25</f>
        <v>140</v>
      </c>
      <c r="E25" s="122">
        <f>C25</f>
        <v>140</v>
      </c>
      <c r="F25" s="126">
        <v>0</v>
      </c>
      <c r="G25" s="126">
        <v>0</v>
      </c>
      <c r="H25" s="126">
        <v>16.100000000000001</v>
      </c>
      <c r="I25" s="126">
        <f>C25*92/K25</f>
        <v>64.400000000000006</v>
      </c>
      <c r="J25" s="3"/>
      <c r="K25" s="72">
        <v>200</v>
      </c>
      <c r="L25" s="2"/>
      <c r="M25" s="2"/>
      <c r="N25" s="2"/>
      <c r="O25" s="2"/>
      <c r="P25" s="2"/>
    </row>
    <row r="26" spans="1:20" ht="31.5" x14ac:dyDescent="0.25">
      <c r="A26" s="9" t="s">
        <v>32</v>
      </c>
      <c r="B26" s="6"/>
      <c r="C26" s="6"/>
      <c r="D26" s="6"/>
      <c r="E26" s="6"/>
      <c r="F26" s="8">
        <f>SUM(F25)</f>
        <v>0</v>
      </c>
      <c r="G26" s="8">
        <f>SUM(G25)</f>
        <v>0</v>
      </c>
      <c r="H26" s="8">
        <f>SUM(H25)</f>
        <v>16.100000000000001</v>
      </c>
      <c r="I26" s="8">
        <f>SUM(I25)</f>
        <v>64.400000000000006</v>
      </c>
      <c r="J26" s="6"/>
      <c r="K26" s="2"/>
      <c r="L26" s="2"/>
      <c r="M26" s="2"/>
      <c r="N26" s="2"/>
      <c r="O26" s="2"/>
      <c r="P26" s="2"/>
    </row>
    <row r="27" spans="1:20" x14ac:dyDescent="0.25">
      <c r="A27" s="10" t="s">
        <v>33</v>
      </c>
      <c r="B27" s="119" t="s">
        <v>369</v>
      </c>
      <c r="C27" s="126">
        <v>40</v>
      </c>
      <c r="D27" s="127">
        <f>C27*51/K27</f>
        <v>40.799999999999997</v>
      </c>
      <c r="E27" s="127">
        <v>40</v>
      </c>
      <c r="F27" s="46">
        <v>0.44</v>
      </c>
      <c r="G27" s="46">
        <v>0.08</v>
      </c>
      <c r="H27" s="46">
        <v>1.52</v>
      </c>
      <c r="I27" s="46">
        <v>9.1999999999999993</v>
      </c>
      <c r="J27" s="4"/>
      <c r="K27" s="2">
        <v>50</v>
      </c>
      <c r="L27" s="2"/>
      <c r="M27" s="2"/>
    </row>
    <row r="28" spans="1:20" ht="31.5" x14ac:dyDescent="0.25">
      <c r="A28" s="3"/>
      <c r="B28" s="235" t="s">
        <v>333</v>
      </c>
      <c r="C28" s="236">
        <v>165</v>
      </c>
      <c r="D28" s="318"/>
      <c r="E28" s="318"/>
      <c r="F28" s="238">
        <v>5.89</v>
      </c>
      <c r="G28" s="238">
        <v>9.0399999999999991</v>
      </c>
      <c r="H28" s="238">
        <v>21.08</v>
      </c>
      <c r="I28" s="238">
        <v>122.57</v>
      </c>
      <c r="J28" s="4" t="s">
        <v>334</v>
      </c>
      <c r="K28" s="2"/>
      <c r="L28" s="356"/>
      <c r="M28" s="357"/>
      <c r="N28" s="358"/>
      <c r="O28" s="358"/>
      <c r="P28" s="359"/>
      <c r="Q28" s="359"/>
      <c r="R28" s="359"/>
      <c r="S28" s="359"/>
      <c r="T28" s="103"/>
    </row>
    <row r="29" spans="1:20" x14ac:dyDescent="0.25">
      <c r="A29" s="3"/>
      <c r="B29" s="3" t="s">
        <v>156</v>
      </c>
      <c r="C29" s="130"/>
      <c r="D29" s="76">
        <v>17.3</v>
      </c>
      <c r="E29" s="76">
        <v>16</v>
      </c>
      <c r="F29" s="4"/>
      <c r="G29" s="4"/>
      <c r="H29" s="4"/>
      <c r="I29" s="4"/>
      <c r="J29" s="4" t="s">
        <v>16</v>
      </c>
      <c r="K29" s="2"/>
      <c r="L29" s="360"/>
      <c r="M29" s="361"/>
      <c r="N29" s="266"/>
      <c r="O29" s="266"/>
      <c r="P29" s="359"/>
      <c r="Q29" s="359"/>
      <c r="R29" s="359"/>
      <c r="S29" s="359"/>
      <c r="T29" s="103"/>
    </row>
    <row r="30" spans="1:20" x14ac:dyDescent="0.25">
      <c r="A30" s="3"/>
      <c r="B30" s="3" t="s">
        <v>27</v>
      </c>
      <c r="C30" s="130"/>
      <c r="D30" s="76">
        <v>148</v>
      </c>
      <c r="E30" s="76">
        <v>148</v>
      </c>
      <c r="F30" s="4"/>
      <c r="G30" s="4"/>
      <c r="H30" s="4"/>
      <c r="I30" s="4"/>
      <c r="J30" s="3"/>
      <c r="K30" s="2"/>
      <c r="L30" s="362"/>
      <c r="M30" s="361"/>
      <c r="N30" s="266"/>
      <c r="O30" s="266"/>
      <c r="P30" s="359"/>
      <c r="Q30" s="359"/>
      <c r="R30" s="359"/>
      <c r="S30" s="359"/>
      <c r="T30" s="103"/>
    </row>
    <row r="31" spans="1:20" x14ac:dyDescent="0.25">
      <c r="A31" s="3"/>
      <c r="B31" s="3" t="s">
        <v>44</v>
      </c>
      <c r="C31" s="130">
        <v>150</v>
      </c>
      <c r="D31" s="76"/>
      <c r="E31" s="76">
        <v>10</v>
      </c>
      <c r="F31" s="4"/>
      <c r="G31" s="4"/>
      <c r="H31" s="4"/>
      <c r="I31" s="4"/>
      <c r="J31" s="3"/>
      <c r="K31" s="2">
        <v>12</v>
      </c>
      <c r="L31" s="362"/>
      <c r="M31" s="361"/>
      <c r="N31" s="266"/>
      <c r="O31" s="266"/>
      <c r="P31" s="359"/>
      <c r="Q31" s="359"/>
      <c r="R31" s="359"/>
      <c r="S31" s="359"/>
      <c r="T31" s="103"/>
    </row>
    <row r="32" spans="1:20" ht="31.5" x14ac:dyDescent="0.25">
      <c r="A32" s="3"/>
      <c r="B32" s="147" t="s">
        <v>45</v>
      </c>
      <c r="C32" s="130"/>
      <c r="D32" s="207"/>
      <c r="E32" s="207">
        <f>E31*136/K31</f>
        <v>113.33333333333333</v>
      </c>
      <c r="F32" s="4"/>
      <c r="G32" s="4"/>
      <c r="H32" s="4"/>
      <c r="I32" s="4"/>
      <c r="J32" s="3"/>
      <c r="K32" s="2"/>
      <c r="L32" s="362"/>
      <c r="M32" s="361"/>
      <c r="N32" s="266"/>
      <c r="O32" s="266"/>
      <c r="P32" s="359"/>
      <c r="Q32" s="359"/>
      <c r="R32" s="359"/>
      <c r="S32" s="359"/>
      <c r="T32" s="103"/>
    </row>
    <row r="33" spans="1:20" x14ac:dyDescent="0.25">
      <c r="A33" s="3"/>
      <c r="B33" s="363" t="s">
        <v>237</v>
      </c>
      <c r="C33" s="364"/>
      <c r="D33" s="365">
        <f>$C$31*3.63636363636364/$K$33</f>
        <v>2.9970029970029999</v>
      </c>
      <c r="E33" s="365">
        <f>$C$31*3.63636363636364/$K$33</f>
        <v>2.9970029970029999</v>
      </c>
      <c r="F33" s="4"/>
      <c r="G33" s="4"/>
      <c r="H33" s="4"/>
      <c r="I33" s="4"/>
      <c r="J33" s="3"/>
      <c r="K33" s="2">
        <v>182</v>
      </c>
      <c r="L33" s="362"/>
      <c r="M33" s="361"/>
      <c r="N33" s="366"/>
      <c r="O33" s="366"/>
      <c r="P33" s="359"/>
      <c r="Q33" s="359"/>
      <c r="R33" s="359"/>
      <c r="S33" s="359"/>
      <c r="T33" s="103"/>
    </row>
    <row r="34" spans="1:20" x14ac:dyDescent="0.25">
      <c r="A34" s="3"/>
      <c r="B34" s="3" t="s">
        <v>47</v>
      </c>
      <c r="C34" s="122"/>
      <c r="D34" s="367">
        <v>60</v>
      </c>
      <c r="E34" s="367">
        <v>45</v>
      </c>
      <c r="F34" s="4"/>
      <c r="G34" s="4"/>
      <c r="H34" s="4"/>
      <c r="I34" s="4"/>
      <c r="J34" s="3"/>
      <c r="K34" s="2"/>
      <c r="L34" s="362"/>
      <c r="M34" s="361"/>
      <c r="N34" s="366"/>
      <c r="O34" s="366"/>
      <c r="P34" s="359"/>
      <c r="Q34" s="359"/>
      <c r="R34" s="359"/>
      <c r="S34" s="359"/>
      <c r="T34" s="103"/>
    </row>
    <row r="35" spans="1:20" x14ac:dyDescent="0.25">
      <c r="A35" s="3"/>
      <c r="B35" s="3" t="s">
        <v>48</v>
      </c>
      <c r="C35" s="122"/>
      <c r="D35" s="367">
        <f>C31*9.09090909090909/K33</f>
        <v>7.4925074925074915</v>
      </c>
      <c r="E35" s="367">
        <f>C31*7.27272727272727/K33</f>
        <v>5.9940059940059918</v>
      </c>
      <c r="F35" s="4"/>
      <c r="G35" s="4"/>
      <c r="H35" s="4"/>
      <c r="I35" s="4"/>
      <c r="J35" s="3"/>
      <c r="K35" s="2"/>
      <c r="L35" s="362"/>
      <c r="M35" s="361"/>
      <c r="N35" s="366"/>
      <c r="O35" s="366"/>
      <c r="P35" s="359"/>
      <c r="Q35" s="359"/>
      <c r="R35" s="359"/>
      <c r="S35" s="359"/>
      <c r="T35" s="103"/>
    </row>
    <row r="36" spans="1:20" x14ac:dyDescent="0.25">
      <c r="A36" s="3"/>
      <c r="B36" s="3" t="s">
        <v>49</v>
      </c>
      <c r="C36" s="122"/>
      <c r="D36" s="367">
        <f>C31*4.4/K33</f>
        <v>3.6263736263736264</v>
      </c>
      <c r="E36" s="367">
        <f>C31*3.6/K33</f>
        <v>2.9670329670329672</v>
      </c>
      <c r="F36" s="4"/>
      <c r="G36" s="4"/>
      <c r="H36" s="4"/>
      <c r="I36" s="4"/>
      <c r="J36" s="3"/>
      <c r="K36" s="2"/>
      <c r="L36" s="362"/>
      <c r="M36" s="361"/>
      <c r="N36" s="366"/>
      <c r="O36" s="366"/>
      <c r="P36" s="359"/>
      <c r="Q36" s="359"/>
      <c r="R36" s="359"/>
      <c r="S36" s="359"/>
      <c r="T36" s="103"/>
    </row>
    <row r="37" spans="1:20" x14ac:dyDescent="0.25">
      <c r="A37" s="3"/>
      <c r="B37" s="3" t="s">
        <v>50</v>
      </c>
      <c r="C37" s="122"/>
      <c r="D37" s="367">
        <v>3</v>
      </c>
      <c r="E37" s="367">
        <v>3</v>
      </c>
      <c r="F37" s="4"/>
      <c r="G37" s="4"/>
      <c r="H37" s="4"/>
      <c r="I37" s="4"/>
      <c r="J37" s="3"/>
      <c r="K37" s="2"/>
      <c r="L37" s="362"/>
      <c r="M37" s="361"/>
      <c r="N37" s="366"/>
      <c r="O37" s="366"/>
      <c r="P37" s="359"/>
      <c r="Q37" s="359"/>
      <c r="R37" s="359"/>
      <c r="S37" s="359"/>
      <c r="T37" s="103"/>
    </row>
    <row r="38" spans="1:20" x14ac:dyDescent="0.25">
      <c r="A38" s="3"/>
      <c r="B38" s="363" t="s">
        <v>239</v>
      </c>
      <c r="C38" s="364"/>
      <c r="D38" s="368">
        <f>C31*12.1212121212121/K33</f>
        <v>9.9900099900099733</v>
      </c>
      <c r="E38" s="368">
        <f>C31*10.9090909090909/K33</f>
        <v>8.9910089910089823</v>
      </c>
      <c r="F38" s="4"/>
      <c r="G38" s="4"/>
      <c r="H38" s="4"/>
      <c r="I38" s="4"/>
      <c r="J38" s="3"/>
      <c r="K38" s="2"/>
      <c r="L38" s="369"/>
      <c r="M38" s="361"/>
      <c r="N38" s="370"/>
      <c r="O38" s="370"/>
      <c r="P38" s="371"/>
      <c r="Q38" s="371"/>
      <c r="R38" s="371"/>
      <c r="S38" s="371"/>
      <c r="T38" s="103"/>
    </row>
    <row r="39" spans="1:20" x14ac:dyDescent="0.25">
      <c r="A39" s="3"/>
      <c r="B39" s="3" t="s">
        <v>159</v>
      </c>
      <c r="C39" s="122"/>
      <c r="D39" s="367">
        <v>1.1100000000000001</v>
      </c>
      <c r="E39" s="367">
        <v>0.82</v>
      </c>
      <c r="F39" s="4"/>
      <c r="G39" s="4"/>
      <c r="H39" s="4"/>
      <c r="I39" s="4"/>
      <c r="J39" s="3"/>
      <c r="K39" s="2"/>
      <c r="L39" s="369"/>
      <c r="M39" s="361"/>
      <c r="N39" s="370"/>
      <c r="O39" s="370"/>
      <c r="P39" s="371"/>
      <c r="Q39" s="371"/>
      <c r="R39" s="371"/>
      <c r="S39" s="371"/>
      <c r="T39" s="70"/>
    </row>
    <row r="40" spans="1:20" x14ac:dyDescent="0.25">
      <c r="A40" s="3"/>
      <c r="B40" s="3" t="s">
        <v>160</v>
      </c>
      <c r="C40" s="122"/>
      <c r="D40" s="367">
        <v>5</v>
      </c>
      <c r="E40" s="367">
        <v>5</v>
      </c>
      <c r="F40" s="4"/>
      <c r="G40" s="4"/>
      <c r="H40" s="4"/>
      <c r="I40" s="4"/>
      <c r="J40" s="3"/>
      <c r="K40" s="2"/>
      <c r="L40" s="369"/>
      <c r="M40" s="361"/>
      <c r="N40" s="370"/>
      <c r="O40" s="370"/>
      <c r="P40" s="371"/>
      <c r="Q40" s="371"/>
      <c r="R40" s="371"/>
      <c r="S40" s="371"/>
      <c r="T40" s="70"/>
    </row>
    <row r="41" spans="1:20" x14ac:dyDescent="0.25">
      <c r="A41" s="3"/>
      <c r="B41" s="3" t="s">
        <v>20</v>
      </c>
      <c r="C41" s="122"/>
      <c r="D41" s="367">
        <v>0.5</v>
      </c>
      <c r="E41" s="367">
        <v>0.5</v>
      </c>
      <c r="F41" s="4"/>
      <c r="G41" s="4"/>
      <c r="H41" s="4"/>
      <c r="I41" s="4"/>
      <c r="J41" s="3"/>
      <c r="K41" s="2"/>
      <c r="L41" s="70"/>
      <c r="M41" s="70"/>
      <c r="N41" s="70"/>
      <c r="O41" s="70"/>
      <c r="P41" s="70"/>
      <c r="Q41" s="334"/>
      <c r="R41" s="334"/>
      <c r="S41" s="334"/>
      <c r="T41" s="334"/>
    </row>
    <row r="42" spans="1:20" ht="31.5" x14ac:dyDescent="0.25">
      <c r="A42" s="3"/>
      <c r="B42" s="163" t="s">
        <v>395</v>
      </c>
      <c r="C42" s="126">
        <v>60</v>
      </c>
      <c r="D42" s="122"/>
      <c r="E42" s="122"/>
      <c r="F42" s="126">
        <f>C42*16.96/K42</f>
        <v>12.72</v>
      </c>
      <c r="G42" s="126">
        <f>C42*21.05/K42</f>
        <v>15.7875</v>
      </c>
      <c r="H42" s="126">
        <f>C42*3.42/K42</f>
        <v>2.5649999999999999</v>
      </c>
      <c r="I42" s="126">
        <f>C42*269.2/K42</f>
        <v>201.9</v>
      </c>
      <c r="J42" s="4" t="s">
        <v>168</v>
      </c>
      <c r="K42" s="2">
        <v>80</v>
      </c>
      <c r="L42" s="2"/>
      <c r="M42" s="2"/>
      <c r="N42" s="2"/>
      <c r="O42" s="2"/>
      <c r="P42" s="2"/>
    </row>
    <row r="43" spans="1:20" x14ac:dyDescent="0.25">
      <c r="A43" s="3"/>
      <c r="B43" s="216" t="s">
        <v>165</v>
      </c>
      <c r="C43" s="64"/>
      <c r="D43" s="122">
        <v>66.38</v>
      </c>
      <c r="E43" s="122">
        <v>55.2</v>
      </c>
      <c r="F43" s="64"/>
      <c r="G43" s="64"/>
      <c r="H43" s="64"/>
      <c r="I43" s="64"/>
      <c r="J43" s="4" t="s">
        <v>16</v>
      </c>
      <c r="K43" s="2"/>
      <c r="L43" s="2"/>
      <c r="M43" s="2"/>
      <c r="N43" s="2"/>
      <c r="O43" s="2"/>
      <c r="P43" s="2"/>
    </row>
    <row r="44" spans="1:20" x14ac:dyDescent="0.25">
      <c r="A44" s="3"/>
      <c r="B44" s="66" t="s">
        <v>50</v>
      </c>
      <c r="C44" s="64"/>
      <c r="D44" s="122">
        <f>$C$42*6/$K$42</f>
        <v>4.5</v>
      </c>
      <c r="E44" s="122">
        <f>$C$42*6/$K$42</f>
        <v>4.5</v>
      </c>
      <c r="F44" s="64"/>
      <c r="G44" s="64"/>
      <c r="H44" s="64"/>
      <c r="I44" s="64"/>
      <c r="J44" s="3"/>
      <c r="K44" s="2"/>
      <c r="L44" s="2"/>
      <c r="M44" s="2"/>
      <c r="N44" s="2"/>
      <c r="O44" s="2"/>
      <c r="P44" s="2"/>
    </row>
    <row r="45" spans="1:20" ht="31.5" x14ac:dyDescent="0.25">
      <c r="A45" s="3"/>
      <c r="B45" s="216" t="s">
        <v>166</v>
      </c>
      <c r="C45" s="64"/>
      <c r="D45" s="122" t="s">
        <v>173</v>
      </c>
      <c r="E45" s="122">
        <f>C42*50/K42</f>
        <v>37.5</v>
      </c>
      <c r="F45" s="64"/>
      <c r="G45" s="64"/>
      <c r="H45" s="64"/>
      <c r="I45" s="64"/>
      <c r="J45" s="3"/>
      <c r="K45" s="2"/>
      <c r="L45" s="2"/>
      <c r="M45" s="2"/>
      <c r="N45" s="2"/>
      <c r="O45" s="2"/>
      <c r="P45" s="2"/>
    </row>
    <row r="46" spans="1:20" x14ac:dyDescent="0.25">
      <c r="A46" s="3"/>
      <c r="B46" s="217" t="s">
        <v>167</v>
      </c>
      <c r="C46" s="64"/>
      <c r="D46" s="122" t="s">
        <v>173</v>
      </c>
      <c r="E46" s="122">
        <f>C42*30/K42</f>
        <v>22.5</v>
      </c>
      <c r="F46" s="64"/>
      <c r="G46" s="64"/>
      <c r="H46" s="64"/>
      <c r="I46" s="64"/>
      <c r="J46" s="3"/>
      <c r="K46" s="2"/>
      <c r="L46" s="2"/>
      <c r="M46" s="2"/>
      <c r="N46" s="2"/>
      <c r="O46" s="2"/>
      <c r="P46" s="2"/>
    </row>
    <row r="47" spans="1:20" x14ac:dyDescent="0.25">
      <c r="A47" s="3"/>
      <c r="B47" s="216" t="s">
        <v>56</v>
      </c>
      <c r="C47" s="64"/>
      <c r="D47" s="127">
        <f>$C$42*0.75/$K$42</f>
        <v>0.5625</v>
      </c>
      <c r="E47" s="127">
        <f>$C$42*0.75/$K$42</f>
        <v>0.5625</v>
      </c>
      <c r="F47" s="64"/>
      <c r="G47" s="64"/>
      <c r="H47" s="64"/>
      <c r="I47" s="64"/>
      <c r="J47" s="3"/>
      <c r="K47" s="2"/>
      <c r="L47" s="2"/>
      <c r="M47" s="2"/>
      <c r="N47" s="2"/>
      <c r="O47" s="2"/>
      <c r="P47" s="2"/>
    </row>
    <row r="48" spans="1:20" x14ac:dyDescent="0.25">
      <c r="A48" s="3"/>
      <c r="B48" s="216" t="s">
        <v>22</v>
      </c>
      <c r="C48" s="64"/>
      <c r="D48" s="127">
        <f>$C$42*0.75/$K$42</f>
        <v>0.5625</v>
      </c>
      <c r="E48" s="127">
        <f>$C$42*0.75/$K$42</f>
        <v>0.5625</v>
      </c>
      <c r="F48" s="64"/>
      <c r="G48" s="64"/>
      <c r="H48" s="64"/>
      <c r="I48" s="64"/>
      <c r="J48" s="3"/>
      <c r="K48" s="2"/>
      <c r="L48" s="2"/>
      <c r="M48" s="2"/>
      <c r="N48" s="2"/>
      <c r="O48" s="2"/>
      <c r="P48" s="2"/>
    </row>
    <row r="49" spans="1:16" x14ac:dyDescent="0.25">
      <c r="A49" s="3"/>
      <c r="B49" s="216" t="s">
        <v>27</v>
      </c>
      <c r="C49" s="64"/>
      <c r="D49" s="127">
        <f>$C$42*16.5/$K$42</f>
        <v>12.375</v>
      </c>
      <c r="E49" s="127">
        <f>$C$42*16.5/$K$42</f>
        <v>12.375</v>
      </c>
      <c r="F49" s="64"/>
      <c r="G49" s="64"/>
      <c r="H49" s="64"/>
      <c r="I49" s="64"/>
      <c r="J49" s="3"/>
      <c r="K49" s="2"/>
      <c r="L49" s="2"/>
      <c r="M49" s="2"/>
      <c r="N49" s="2"/>
      <c r="O49" s="2"/>
      <c r="P49" s="2"/>
    </row>
    <row r="50" spans="1:16" x14ac:dyDescent="0.25">
      <c r="A50" s="3"/>
      <c r="B50" s="216" t="s">
        <v>58</v>
      </c>
      <c r="C50" s="64"/>
      <c r="D50" s="122" t="s">
        <v>173</v>
      </c>
      <c r="E50" s="122">
        <f>$C$42*15/$K$42</f>
        <v>11.25</v>
      </c>
      <c r="F50" s="64"/>
      <c r="G50" s="64"/>
      <c r="H50" s="64"/>
      <c r="I50" s="64"/>
      <c r="J50" s="3"/>
      <c r="K50" s="2"/>
      <c r="L50" s="2"/>
      <c r="M50" s="2"/>
      <c r="N50" s="2"/>
      <c r="O50" s="2"/>
      <c r="P50" s="2"/>
    </row>
    <row r="51" spans="1:16" x14ac:dyDescent="0.25">
      <c r="A51" s="3"/>
      <c r="B51" s="216" t="s">
        <v>160</v>
      </c>
      <c r="C51" s="64"/>
      <c r="D51" s="122">
        <f>$C$42*15/$K$42</f>
        <v>11.25</v>
      </c>
      <c r="E51" s="122">
        <f>$C$42*15/$K$42</f>
        <v>11.25</v>
      </c>
      <c r="F51" s="64"/>
      <c r="G51" s="64"/>
      <c r="H51" s="64"/>
      <c r="I51" s="64"/>
      <c r="J51" s="3"/>
      <c r="K51" s="2"/>
      <c r="L51" s="2"/>
      <c r="M51" s="2"/>
      <c r="N51" s="2"/>
      <c r="O51" s="2"/>
      <c r="P51" s="2"/>
    </row>
    <row r="52" spans="1:16" x14ac:dyDescent="0.25">
      <c r="A52" s="3"/>
      <c r="B52" s="216" t="s">
        <v>20</v>
      </c>
      <c r="C52" s="64"/>
      <c r="D52" s="122">
        <v>0.3</v>
      </c>
      <c r="E52" s="122">
        <v>0.3</v>
      </c>
      <c r="F52" s="64"/>
      <c r="G52" s="64"/>
      <c r="H52" s="64"/>
      <c r="I52" s="64"/>
      <c r="J52" s="3"/>
      <c r="K52" s="2"/>
      <c r="L52" s="2"/>
      <c r="M52" s="2"/>
      <c r="N52" s="2"/>
      <c r="O52" s="2"/>
      <c r="P52" s="2"/>
    </row>
    <row r="53" spans="1:16" ht="31.5" x14ac:dyDescent="0.25">
      <c r="A53" s="3"/>
      <c r="B53" s="125" t="s">
        <v>272</v>
      </c>
      <c r="C53" s="129">
        <v>110</v>
      </c>
      <c r="D53" s="3"/>
      <c r="E53" s="3"/>
      <c r="F53" s="4">
        <f>C53*8.44/K53</f>
        <v>6.4027586206896547</v>
      </c>
      <c r="G53" s="4">
        <f>C53*5.25/K53</f>
        <v>3.9827586206896552</v>
      </c>
      <c r="H53" s="4">
        <f>C53*43.5/K53</f>
        <v>33</v>
      </c>
      <c r="I53" s="4">
        <f>C53*255.01/K53</f>
        <v>193.4558620689655</v>
      </c>
      <c r="J53" s="4" t="s">
        <v>275</v>
      </c>
      <c r="K53" s="2">
        <v>145</v>
      </c>
      <c r="L53" s="2"/>
      <c r="M53" s="2"/>
    </row>
    <row r="54" spans="1:16" x14ac:dyDescent="0.25">
      <c r="A54" s="3"/>
      <c r="B54" s="66" t="s">
        <v>273</v>
      </c>
      <c r="C54" s="130"/>
      <c r="D54" s="140">
        <f>$C$53*66.7/$K$53</f>
        <v>50.6</v>
      </c>
      <c r="E54" s="140">
        <f>$C$53*66.7/$K$53</f>
        <v>50.6</v>
      </c>
      <c r="F54" s="4"/>
      <c r="G54" s="4"/>
      <c r="H54" s="4"/>
      <c r="I54" s="4"/>
      <c r="J54" s="4" t="s">
        <v>16</v>
      </c>
      <c r="K54" s="2"/>
      <c r="L54" s="2"/>
      <c r="M54" s="2"/>
    </row>
    <row r="55" spans="1:16" x14ac:dyDescent="0.25">
      <c r="A55" s="3"/>
      <c r="B55" s="66" t="s">
        <v>27</v>
      </c>
      <c r="C55" s="130"/>
      <c r="D55" s="140">
        <f>$C$53*99/$K$53</f>
        <v>75.103448275862064</v>
      </c>
      <c r="E55" s="140">
        <f>$C$53*99/$K$53</f>
        <v>75.103448275862064</v>
      </c>
      <c r="F55" s="4"/>
      <c r="G55" s="4"/>
      <c r="H55" s="4"/>
      <c r="I55" s="4"/>
      <c r="J55" s="3"/>
      <c r="K55" s="2"/>
      <c r="L55" s="2"/>
      <c r="M55" s="2"/>
    </row>
    <row r="56" spans="1:16" x14ac:dyDescent="0.25">
      <c r="A56" s="3"/>
      <c r="B56" s="66" t="s">
        <v>20</v>
      </c>
      <c r="C56" s="130"/>
      <c r="D56" s="140">
        <f>$C$53*0.6/$K$53</f>
        <v>0.45517241379310347</v>
      </c>
      <c r="E56" s="140">
        <f>$C$53*0.6/$K$53</f>
        <v>0.45517241379310347</v>
      </c>
      <c r="F56" s="4"/>
      <c r="G56" s="4"/>
      <c r="H56" s="4"/>
      <c r="I56" s="4"/>
      <c r="J56" s="3"/>
      <c r="K56" s="2"/>
      <c r="L56" s="2"/>
      <c r="M56" s="2"/>
    </row>
    <row r="57" spans="1:16" x14ac:dyDescent="0.25">
      <c r="A57" s="3"/>
      <c r="B57" s="66" t="s">
        <v>274</v>
      </c>
      <c r="C57" s="130"/>
      <c r="D57" s="140" t="s">
        <v>173</v>
      </c>
      <c r="E57" s="140">
        <f>C53*139/K53</f>
        <v>105.44827586206897</v>
      </c>
      <c r="F57" s="4"/>
      <c r="G57" s="4"/>
      <c r="H57" s="4"/>
      <c r="I57" s="4"/>
      <c r="J57" s="3"/>
      <c r="K57" s="2"/>
      <c r="L57" s="2"/>
      <c r="M57" s="2"/>
    </row>
    <row r="58" spans="1:16" x14ac:dyDescent="0.25">
      <c r="A58" s="3"/>
      <c r="B58" s="66" t="s">
        <v>22</v>
      </c>
      <c r="C58" s="130"/>
      <c r="D58" s="140">
        <v>4.9000000000000004</v>
      </c>
      <c r="E58" s="140">
        <v>4.9000000000000004</v>
      </c>
      <c r="F58" s="4"/>
      <c r="G58" s="4"/>
      <c r="H58" s="4"/>
      <c r="I58" s="4"/>
      <c r="J58" s="3"/>
      <c r="K58" s="2"/>
      <c r="L58" s="2"/>
      <c r="M58" s="2"/>
    </row>
    <row r="59" spans="1:16" ht="31.5" x14ac:dyDescent="0.25">
      <c r="A59" s="3"/>
      <c r="B59" s="163" t="s">
        <v>67</v>
      </c>
      <c r="C59" s="126">
        <v>150</v>
      </c>
      <c r="D59" s="4"/>
      <c r="E59" s="4"/>
      <c r="F59" s="46">
        <v>0.4</v>
      </c>
      <c r="G59" s="46">
        <v>0</v>
      </c>
      <c r="H59" s="46">
        <v>20.91</v>
      </c>
      <c r="I59" s="46">
        <v>85.33</v>
      </c>
      <c r="J59" s="314" t="s">
        <v>450</v>
      </c>
      <c r="K59" s="72">
        <v>190</v>
      </c>
      <c r="L59" s="2"/>
    </row>
    <row r="60" spans="1:16" x14ac:dyDescent="0.25">
      <c r="A60" s="3"/>
      <c r="B60" s="164" t="s">
        <v>68</v>
      </c>
      <c r="C60" s="122"/>
      <c r="D60" s="130">
        <v>15</v>
      </c>
      <c r="E60" s="130">
        <v>15</v>
      </c>
      <c r="F60" s="4"/>
      <c r="G60" s="4"/>
      <c r="H60" s="4"/>
      <c r="I60" s="4"/>
      <c r="J60" s="4"/>
      <c r="K60" s="2">
        <v>190</v>
      </c>
      <c r="L60" s="2"/>
    </row>
    <row r="61" spans="1:16" x14ac:dyDescent="0.25">
      <c r="A61" s="3"/>
      <c r="B61" s="164" t="s">
        <v>446</v>
      </c>
      <c r="C61" s="122"/>
      <c r="D61" s="130">
        <v>0.15</v>
      </c>
      <c r="E61" s="130">
        <v>0.15</v>
      </c>
      <c r="F61" s="4"/>
      <c r="G61" s="4"/>
      <c r="H61" s="4"/>
      <c r="I61" s="4"/>
      <c r="J61" s="4"/>
      <c r="K61" s="2"/>
      <c r="L61" s="2"/>
    </row>
    <row r="62" spans="1:16" x14ac:dyDescent="0.25">
      <c r="A62" s="3"/>
      <c r="B62" s="66" t="s">
        <v>19</v>
      </c>
      <c r="C62" s="122"/>
      <c r="D62" s="130">
        <v>15</v>
      </c>
      <c r="E62" s="130">
        <v>15</v>
      </c>
      <c r="F62" s="4"/>
      <c r="G62" s="4"/>
      <c r="H62" s="4"/>
      <c r="I62" s="4"/>
      <c r="J62" s="3"/>
      <c r="K62" s="2"/>
      <c r="L62" s="2"/>
      <c r="M62" s="2"/>
    </row>
    <row r="63" spans="1:16" x14ac:dyDescent="0.25">
      <c r="A63" s="3"/>
      <c r="B63" s="66" t="s">
        <v>27</v>
      </c>
      <c r="C63" s="122"/>
      <c r="D63" s="130">
        <v>150</v>
      </c>
      <c r="E63" s="130">
        <v>150</v>
      </c>
      <c r="F63" s="4"/>
      <c r="G63" s="4"/>
      <c r="H63" s="4"/>
      <c r="I63" s="4"/>
      <c r="J63" s="3"/>
      <c r="K63" s="2"/>
      <c r="L63" s="2"/>
      <c r="M63" s="2"/>
    </row>
    <row r="64" spans="1:16" x14ac:dyDescent="0.25">
      <c r="A64" s="3"/>
      <c r="B64" s="97" t="s">
        <v>28</v>
      </c>
      <c r="C64" s="129">
        <v>30</v>
      </c>
      <c r="D64" s="130">
        <v>30</v>
      </c>
      <c r="E64" s="130">
        <v>30</v>
      </c>
      <c r="F64" s="126">
        <v>2.2799999999999998</v>
      </c>
      <c r="G64" s="126">
        <v>0.27</v>
      </c>
      <c r="H64" s="126">
        <v>14.01</v>
      </c>
      <c r="I64" s="126">
        <v>69.3</v>
      </c>
      <c r="J64" s="3"/>
      <c r="K64" s="72">
        <v>20</v>
      </c>
      <c r="L64" s="2"/>
      <c r="M64" s="2"/>
      <c r="N64" s="2"/>
      <c r="O64" s="2"/>
      <c r="P64" s="2"/>
    </row>
    <row r="65" spans="1:16" x14ac:dyDescent="0.25">
      <c r="A65" s="3"/>
      <c r="B65" s="125" t="s">
        <v>84</v>
      </c>
      <c r="C65" s="129">
        <v>10</v>
      </c>
      <c r="D65" s="130">
        <f>C65</f>
        <v>10</v>
      </c>
      <c r="E65" s="130">
        <f>C65</f>
        <v>10</v>
      </c>
      <c r="F65" s="129">
        <f>C65*1.54/K65</f>
        <v>0.77</v>
      </c>
      <c r="G65" s="129">
        <f>C65*0.28/K65</f>
        <v>0.14000000000000001</v>
      </c>
      <c r="H65" s="129">
        <f>C65*7.52/K65</f>
        <v>3.7599999999999993</v>
      </c>
      <c r="I65" s="129">
        <f>C65*40.2/K65</f>
        <v>20.100000000000001</v>
      </c>
      <c r="J65" s="3"/>
      <c r="K65" s="72">
        <v>20</v>
      </c>
      <c r="L65" s="2"/>
      <c r="M65" s="2"/>
      <c r="N65" s="2"/>
      <c r="O65" s="2"/>
      <c r="P65" s="2"/>
    </row>
    <row r="66" spans="1:16" x14ac:dyDescent="0.25">
      <c r="A66" s="5" t="s">
        <v>69</v>
      </c>
      <c r="B66" s="6"/>
      <c r="C66" s="8">
        <f>SUM(C27:C65)</f>
        <v>715</v>
      </c>
      <c r="D66" s="6"/>
      <c r="E66" s="6"/>
      <c r="F66" s="165">
        <f>SUM(F27:F65)</f>
        <v>28.902758620689657</v>
      </c>
      <c r="G66" s="165">
        <f>SUM(G27:G65)</f>
        <v>29.300258620689654</v>
      </c>
      <c r="H66" s="165">
        <f>SUM(H27:H65)</f>
        <v>96.845000000000013</v>
      </c>
      <c r="I66" s="165">
        <f>SUM(I27:I65)</f>
        <v>701.85586206896551</v>
      </c>
      <c r="J66" s="6"/>
      <c r="K66" s="2"/>
      <c r="L66" s="2"/>
      <c r="M66" s="2"/>
      <c r="N66" s="2"/>
      <c r="O66" s="2"/>
      <c r="P66" s="2"/>
    </row>
    <row r="67" spans="1:16" x14ac:dyDescent="0.25">
      <c r="A67" s="166" t="s">
        <v>70</v>
      </c>
      <c r="B67" s="176" t="s">
        <v>361</v>
      </c>
      <c r="C67" s="168">
        <v>45</v>
      </c>
      <c r="D67" s="169"/>
      <c r="E67" s="169"/>
      <c r="F67" s="170">
        <v>6.6</v>
      </c>
      <c r="G67" s="170">
        <v>3.33</v>
      </c>
      <c r="H67" s="170">
        <v>26.23</v>
      </c>
      <c r="I67" s="170">
        <v>161.38999999999999</v>
      </c>
      <c r="J67" s="171" t="s">
        <v>399</v>
      </c>
      <c r="K67" s="2"/>
      <c r="L67" s="2"/>
      <c r="M67" s="2"/>
      <c r="N67" s="2"/>
      <c r="O67" s="2"/>
      <c r="P67" s="2"/>
    </row>
    <row r="68" spans="1:16" x14ac:dyDescent="0.25">
      <c r="A68" s="166"/>
      <c r="B68" s="171" t="s">
        <v>63</v>
      </c>
      <c r="C68" s="168"/>
      <c r="D68" s="169">
        <v>29.474999999999998</v>
      </c>
      <c r="E68" s="169">
        <v>29.474999999999998</v>
      </c>
      <c r="F68" s="170"/>
      <c r="G68" s="170"/>
      <c r="H68" s="170"/>
      <c r="I68" s="170"/>
      <c r="J68" s="171" t="s">
        <v>16</v>
      </c>
      <c r="K68" s="2"/>
      <c r="L68" s="2"/>
      <c r="M68" s="2"/>
      <c r="N68" s="2"/>
      <c r="O68" s="2"/>
      <c r="P68" s="2"/>
    </row>
    <row r="69" spans="1:16" x14ac:dyDescent="0.25">
      <c r="A69" s="166"/>
      <c r="B69" s="171" t="s">
        <v>347</v>
      </c>
      <c r="C69" s="168"/>
      <c r="D69" s="169">
        <v>0.9</v>
      </c>
      <c r="E69" s="169">
        <v>0.9</v>
      </c>
      <c r="F69" s="170"/>
      <c r="G69" s="170"/>
      <c r="H69" s="170"/>
      <c r="I69" s="170"/>
      <c r="J69" s="171"/>
      <c r="K69" s="2"/>
      <c r="L69" s="2"/>
      <c r="M69" s="2"/>
      <c r="N69" s="2"/>
      <c r="O69" s="2"/>
      <c r="P69" s="2"/>
    </row>
    <row r="70" spans="1:16" x14ac:dyDescent="0.25">
      <c r="A70" s="166"/>
      <c r="B70" s="171" t="s">
        <v>348</v>
      </c>
      <c r="C70" s="168"/>
      <c r="D70" s="169">
        <v>5.25</v>
      </c>
      <c r="E70" s="169">
        <v>5.25</v>
      </c>
      <c r="F70" s="170"/>
      <c r="G70" s="170"/>
      <c r="H70" s="170"/>
      <c r="I70" s="170"/>
      <c r="J70" s="171"/>
      <c r="K70" s="2"/>
      <c r="L70" s="2"/>
      <c r="M70" s="2"/>
      <c r="N70" s="2"/>
      <c r="O70" s="2"/>
      <c r="P70" s="2"/>
    </row>
    <row r="71" spans="1:16" x14ac:dyDescent="0.25">
      <c r="A71" s="166"/>
      <c r="B71" s="171" t="s">
        <v>349</v>
      </c>
      <c r="C71" s="168"/>
      <c r="D71" s="169">
        <v>3.75</v>
      </c>
      <c r="E71" s="169">
        <v>3.75</v>
      </c>
      <c r="F71" s="170"/>
      <c r="G71" s="170"/>
      <c r="H71" s="170"/>
      <c r="I71" s="170"/>
      <c r="J71" s="171"/>
      <c r="K71" s="2"/>
      <c r="L71" s="2"/>
      <c r="M71" s="2"/>
      <c r="N71" s="2"/>
      <c r="O71" s="2"/>
      <c r="P71" s="2"/>
    </row>
    <row r="72" spans="1:16" x14ac:dyDescent="0.25">
      <c r="A72" s="166"/>
      <c r="B72" s="171" t="s">
        <v>362</v>
      </c>
      <c r="C72" s="168"/>
      <c r="D72" s="169" t="s">
        <v>378</v>
      </c>
      <c r="E72" s="169">
        <v>1.8</v>
      </c>
      <c r="F72" s="170"/>
      <c r="G72" s="170"/>
      <c r="H72" s="170"/>
      <c r="I72" s="170"/>
      <c r="J72" s="171"/>
      <c r="K72" s="2"/>
      <c r="L72" s="2"/>
      <c r="M72" s="2"/>
      <c r="N72" s="2"/>
      <c r="O72" s="2"/>
      <c r="P72" s="2"/>
    </row>
    <row r="73" spans="1:16" x14ac:dyDescent="0.25">
      <c r="A73" s="166"/>
      <c r="B73" s="171" t="s">
        <v>363</v>
      </c>
      <c r="C73" s="168"/>
      <c r="D73" s="169" t="s">
        <v>375</v>
      </c>
      <c r="E73" s="169">
        <v>0.9</v>
      </c>
      <c r="F73" s="170"/>
      <c r="G73" s="170"/>
      <c r="H73" s="170"/>
      <c r="I73" s="170"/>
      <c r="J73" s="171"/>
      <c r="K73" s="2"/>
      <c r="L73" s="2"/>
      <c r="M73" s="2"/>
      <c r="N73" s="2"/>
      <c r="O73" s="2"/>
      <c r="P73" s="2"/>
    </row>
    <row r="74" spans="1:16" x14ac:dyDescent="0.25">
      <c r="A74" s="166"/>
      <c r="B74" s="171" t="s">
        <v>350</v>
      </c>
      <c r="C74" s="168"/>
      <c r="D74" s="169">
        <v>0.6</v>
      </c>
      <c r="E74" s="169">
        <v>0.6</v>
      </c>
      <c r="F74" s="170"/>
      <c r="G74" s="170"/>
      <c r="H74" s="170"/>
      <c r="I74" s="170"/>
      <c r="J74" s="171"/>
      <c r="K74" s="2"/>
      <c r="L74" s="2"/>
      <c r="M74" s="2"/>
      <c r="N74" s="2"/>
      <c r="O74" s="2"/>
      <c r="P74" s="2"/>
    </row>
    <row r="75" spans="1:16" x14ac:dyDescent="0.25">
      <c r="A75" s="166"/>
      <c r="B75" s="171" t="s">
        <v>279</v>
      </c>
      <c r="C75" s="168"/>
      <c r="D75" s="169">
        <v>0.6</v>
      </c>
      <c r="E75" s="169">
        <v>0.6</v>
      </c>
      <c r="F75" s="170"/>
      <c r="G75" s="170"/>
      <c r="H75" s="170"/>
      <c r="I75" s="170"/>
      <c r="J75" s="171"/>
      <c r="K75" s="2"/>
      <c r="L75" s="2"/>
      <c r="M75" s="2"/>
      <c r="N75" s="2"/>
      <c r="O75" s="2"/>
      <c r="P75" s="2"/>
    </row>
    <row r="76" spans="1:16" x14ac:dyDescent="0.25">
      <c r="A76" s="166"/>
      <c r="B76" s="171" t="s">
        <v>356</v>
      </c>
      <c r="C76" s="168"/>
      <c r="D76" s="169">
        <v>2.2499999999999999E-2</v>
      </c>
      <c r="E76" s="169">
        <v>2.2499999999999999E-2</v>
      </c>
      <c r="F76" s="170"/>
      <c r="G76" s="170"/>
      <c r="H76" s="170"/>
      <c r="I76" s="170"/>
      <c r="J76" s="171"/>
      <c r="K76" s="2"/>
      <c r="L76" s="2"/>
      <c r="M76" s="2"/>
      <c r="N76" s="2"/>
      <c r="O76" s="2"/>
      <c r="P76" s="2"/>
    </row>
    <row r="77" spans="1:16" x14ac:dyDescent="0.25">
      <c r="A77" s="166"/>
      <c r="B77" s="171" t="s">
        <v>26</v>
      </c>
      <c r="C77" s="168"/>
      <c r="D77" s="169">
        <v>13.5</v>
      </c>
      <c r="E77" s="169">
        <v>13.5</v>
      </c>
      <c r="F77" s="170"/>
      <c r="G77" s="170"/>
      <c r="H77" s="170"/>
      <c r="I77" s="170"/>
      <c r="J77" s="171"/>
      <c r="K77" s="2"/>
      <c r="L77" s="2"/>
      <c r="M77" s="2"/>
      <c r="N77" s="2"/>
      <c r="O77" s="2"/>
      <c r="P77" s="2"/>
    </row>
    <row r="78" spans="1:16" x14ac:dyDescent="0.25">
      <c r="A78" s="166"/>
      <c r="B78" s="171" t="s">
        <v>351</v>
      </c>
      <c r="C78" s="168"/>
      <c r="D78" s="169" t="s">
        <v>173</v>
      </c>
      <c r="E78" s="169">
        <v>52.5</v>
      </c>
      <c r="F78" s="170"/>
      <c r="G78" s="170"/>
      <c r="H78" s="170"/>
      <c r="I78" s="170"/>
      <c r="J78" s="171"/>
      <c r="K78" s="2"/>
      <c r="L78" s="2"/>
      <c r="M78" s="2"/>
      <c r="N78" s="2"/>
      <c r="O78" s="2"/>
      <c r="P78" s="2"/>
    </row>
    <row r="79" spans="1:16" ht="36" customHeight="1" x14ac:dyDescent="0.25">
      <c r="A79" s="166"/>
      <c r="B79" s="172" t="s">
        <v>151</v>
      </c>
      <c r="C79" s="173">
        <v>180</v>
      </c>
      <c r="D79" s="174">
        <v>189</v>
      </c>
      <c r="E79" s="174">
        <f>C79*200/K79</f>
        <v>180</v>
      </c>
      <c r="F79" s="175">
        <v>5.0199999999999996</v>
      </c>
      <c r="G79" s="175">
        <v>5.74</v>
      </c>
      <c r="H79" s="175">
        <v>8.44</v>
      </c>
      <c r="I79" s="175">
        <v>105.57</v>
      </c>
      <c r="J79" s="166" t="s">
        <v>441</v>
      </c>
      <c r="K79" s="72">
        <v>200</v>
      </c>
      <c r="L79" s="2"/>
      <c r="M79" s="2"/>
      <c r="N79" s="2"/>
      <c r="O79" s="2"/>
      <c r="P79" s="2"/>
    </row>
    <row r="80" spans="1:16" x14ac:dyDescent="0.25">
      <c r="A80" s="5" t="s">
        <v>72</v>
      </c>
      <c r="B80" s="6"/>
      <c r="C80" s="8">
        <f>SUM(C67:C79)</f>
        <v>225</v>
      </c>
      <c r="D80" s="6"/>
      <c r="E80" s="6"/>
      <c r="F80" s="165">
        <f>SUM(F67:F79)</f>
        <v>11.62</v>
      </c>
      <c r="G80" s="165">
        <f>SUM(G67:G79)</f>
        <v>9.07</v>
      </c>
      <c r="H80" s="165">
        <f>SUM(H67:H79)</f>
        <v>34.67</v>
      </c>
      <c r="I80" s="165">
        <f>SUM(I67:I79)</f>
        <v>266.95999999999998</v>
      </c>
      <c r="J80" s="6"/>
      <c r="K80" s="2"/>
      <c r="L80" s="2"/>
      <c r="M80" s="2"/>
      <c r="N80" s="2"/>
      <c r="O80" s="2"/>
      <c r="P80" s="2"/>
    </row>
    <row r="81" spans="1:20" ht="31.5" x14ac:dyDescent="0.25">
      <c r="A81" s="166" t="s">
        <v>73</v>
      </c>
      <c r="B81" s="252" t="s">
        <v>245</v>
      </c>
      <c r="C81" s="306">
        <v>60</v>
      </c>
      <c r="D81" s="372"/>
      <c r="E81" s="372"/>
      <c r="F81" s="307">
        <v>6.21</v>
      </c>
      <c r="G81" s="308">
        <v>3.43</v>
      </c>
      <c r="H81" s="308">
        <v>3.2</v>
      </c>
      <c r="I81" s="308">
        <v>68.599999999999994</v>
      </c>
      <c r="J81" s="4" t="s">
        <v>254</v>
      </c>
      <c r="K81" s="2">
        <v>70</v>
      </c>
      <c r="L81" s="2"/>
      <c r="M81" s="2"/>
      <c r="N81" s="2"/>
      <c r="O81" s="2"/>
      <c r="P81" s="2"/>
    </row>
    <row r="82" spans="1:20" ht="31.5" x14ac:dyDescent="0.25">
      <c r="A82" s="166"/>
      <c r="B82" s="309" t="s">
        <v>246</v>
      </c>
      <c r="C82" s="310"/>
      <c r="D82" s="373">
        <v>48.5</v>
      </c>
      <c r="E82" s="374">
        <v>37</v>
      </c>
      <c r="F82" s="254"/>
      <c r="G82" s="254"/>
      <c r="H82" s="254"/>
      <c r="I82" s="254"/>
      <c r="J82" s="4" t="s">
        <v>16</v>
      </c>
      <c r="K82" s="2"/>
      <c r="L82" s="2"/>
      <c r="M82" s="2"/>
      <c r="N82" s="2"/>
      <c r="O82" s="2"/>
      <c r="P82" s="2"/>
    </row>
    <row r="83" spans="1:20" x14ac:dyDescent="0.25">
      <c r="A83" s="166"/>
      <c r="B83" s="268" t="s">
        <v>247</v>
      </c>
      <c r="C83" s="310"/>
      <c r="D83" s="373">
        <v>11</v>
      </c>
      <c r="E83" s="373">
        <v>11</v>
      </c>
      <c r="F83" s="254"/>
      <c r="G83" s="254"/>
      <c r="H83" s="254"/>
      <c r="I83" s="254"/>
      <c r="J83" s="3"/>
      <c r="K83" s="2"/>
      <c r="L83" s="2"/>
      <c r="M83" s="2"/>
      <c r="N83" s="2"/>
      <c r="O83" s="2"/>
      <c r="P83" s="2"/>
    </row>
    <row r="84" spans="1:20" x14ac:dyDescent="0.25">
      <c r="A84" s="166"/>
      <c r="B84" s="268" t="s">
        <v>61</v>
      </c>
      <c r="C84" s="310"/>
      <c r="D84" s="373">
        <v>13.5</v>
      </c>
      <c r="E84" s="373">
        <v>11</v>
      </c>
      <c r="F84" s="254"/>
      <c r="G84" s="254"/>
      <c r="H84" s="254"/>
      <c r="I84" s="254"/>
      <c r="J84" s="3"/>
      <c r="K84" s="2"/>
      <c r="L84" s="2"/>
      <c r="M84" s="2"/>
      <c r="N84" s="2"/>
      <c r="O84" s="2"/>
      <c r="P84" s="2"/>
    </row>
    <row r="85" spans="1:20" x14ac:dyDescent="0.25">
      <c r="A85" s="166"/>
      <c r="B85" s="268" t="s">
        <v>205</v>
      </c>
      <c r="C85" s="306"/>
      <c r="D85" s="375">
        <v>7</v>
      </c>
      <c r="E85" s="375">
        <f>C81*7/K81</f>
        <v>6</v>
      </c>
      <c r="F85" s="306"/>
      <c r="G85" s="254"/>
      <c r="H85" s="306"/>
      <c r="I85" s="306"/>
      <c r="J85" s="3"/>
      <c r="K85" s="2"/>
      <c r="L85" s="2"/>
      <c r="M85" s="2"/>
      <c r="N85" s="2"/>
      <c r="O85" s="2"/>
      <c r="P85" s="2"/>
    </row>
    <row r="86" spans="1:20" x14ac:dyDescent="0.25">
      <c r="A86" s="166"/>
      <c r="B86" s="305" t="s">
        <v>248</v>
      </c>
      <c r="C86" s="306"/>
      <c r="D86" s="375">
        <v>1.6</v>
      </c>
      <c r="E86" s="375">
        <v>1.6</v>
      </c>
      <c r="F86" s="306"/>
      <c r="G86" s="254"/>
      <c r="H86" s="306"/>
      <c r="I86" s="306"/>
      <c r="J86" s="3"/>
      <c r="K86" s="2"/>
      <c r="L86" s="2"/>
      <c r="M86" s="2"/>
      <c r="N86" s="2"/>
      <c r="O86" s="2"/>
      <c r="P86" s="2"/>
    </row>
    <row r="87" spans="1:20" x14ac:dyDescent="0.25">
      <c r="A87" s="166"/>
      <c r="B87" s="305" t="s">
        <v>249</v>
      </c>
      <c r="C87" s="306"/>
      <c r="D87" s="375">
        <v>3</v>
      </c>
      <c r="E87" s="375">
        <v>3</v>
      </c>
      <c r="F87" s="306"/>
      <c r="G87" s="254"/>
      <c r="H87" s="306"/>
      <c r="I87" s="306"/>
      <c r="J87" s="3"/>
      <c r="K87" s="2"/>
      <c r="L87" s="2"/>
      <c r="M87" s="2"/>
      <c r="N87" s="2"/>
      <c r="O87" s="2"/>
      <c r="P87" s="2"/>
    </row>
    <row r="88" spans="1:20" x14ac:dyDescent="0.25">
      <c r="A88" s="166"/>
      <c r="B88" s="305" t="s">
        <v>250</v>
      </c>
      <c r="C88" s="306"/>
      <c r="D88" s="375">
        <f>$C$81*1.25/$K$81</f>
        <v>1.0714285714285714</v>
      </c>
      <c r="E88" s="375">
        <f>$C$81*1.25/$K$81</f>
        <v>1.0714285714285714</v>
      </c>
      <c r="F88" s="306"/>
      <c r="G88" s="254"/>
      <c r="H88" s="306"/>
      <c r="I88" s="306"/>
      <c r="J88" s="3"/>
      <c r="K88" s="2"/>
      <c r="L88" s="2"/>
      <c r="M88" s="2"/>
      <c r="N88" s="2"/>
      <c r="O88" s="2"/>
      <c r="P88" s="2"/>
    </row>
    <row r="89" spans="1:20" x14ac:dyDescent="0.25">
      <c r="A89" s="166"/>
      <c r="B89" s="305" t="s">
        <v>251</v>
      </c>
      <c r="C89" s="306"/>
      <c r="D89" s="376">
        <f>$C$81*0.0035/$K$81</f>
        <v>3.0000000000000001E-3</v>
      </c>
      <c r="E89" s="376">
        <f>$C$81*0.0035/$K$81</f>
        <v>3.0000000000000001E-3</v>
      </c>
      <c r="F89" s="306"/>
      <c r="G89" s="254"/>
      <c r="H89" s="306"/>
      <c r="I89" s="306"/>
      <c r="J89" s="3"/>
      <c r="K89" s="2"/>
      <c r="L89" s="2"/>
      <c r="M89" s="2"/>
      <c r="N89" s="2"/>
      <c r="O89" s="2"/>
      <c r="P89" s="2"/>
    </row>
    <row r="90" spans="1:20" x14ac:dyDescent="0.25">
      <c r="A90" s="166"/>
      <c r="B90" s="305" t="s">
        <v>20</v>
      </c>
      <c r="C90" s="306"/>
      <c r="D90" s="303">
        <v>0.3</v>
      </c>
      <c r="E90" s="303">
        <v>0.3</v>
      </c>
      <c r="F90" s="306"/>
      <c r="G90" s="254"/>
      <c r="H90" s="306"/>
      <c r="I90" s="306"/>
      <c r="J90" s="3"/>
      <c r="K90" s="2"/>
      <c r="L90" s="2"/>
      <c r="M90" s="2"/>
      <c r="N90" s="2"/>
      <c r="O90" s="2"/>
      <c r="P90" s="2"/>
    </row>
    <row r="91" spans="1:20" ht="31.5" x14ac:dyDescent="0.25">
      <c r="A91" s="166"/>
      <c r="B91" s="305" t="s">
        <v>252</v>
      </c>
      <c r="C91" s="306"/>
      <c r="D91" s="373" t="s">
        <v>173</v>
      </c>
      <c r="E91" s="373">
        <f>C81*35/K81</f>
        <v>30</v>
      </c>
      <c r="F91" s="306"/>
      <c r="G91" s="254"/>
      <c r="H91" s="306"/>
      <c r="I91" s="306"/>
      <c r="J91" s="3"/>
      <c r="K91" s="2"/>
      <c r="L91" s="2"/>
      <c r="M91" s="2"/>
      <c r="N91" s="2"/>
      <c r="O91" s="2"/>
      <c r="P91" s="2"/>
    </row>
    <row r="92" spans="1:20" ht="47.25" x14ac:dyDescent="0.25">
      <c r="A92" s="166"/>
      <c r="B92" s="305" t="s">
        <v>253</v>
      </c>
      <c r="C92" s="306"/>
      <c r="D92" s="373" t="s">
        <v>173</v>
      </c>
      <c r="E92" s="373">
        <f>$C$81*70/K81</f>
        <v>60</v>
      </c>
      <c r="F92" s="306"/>
      <c r="G92" s="254"/>
      <c r="H92" s="306"/>
      <c r="I92" s="306"/>
      <c r="J92" s="3"/>
      <c r="K92" s="2"/>
      <c r="L92" s="2"/>
      <c r="M92" s="2"/>
      <c r="N92" s="2"/>
      <c r="O92" s="2"/>
      <c r="P92" s="2"/>
    </row>
    <row r="93" spans="1:20" ht="31.5" x14ac:dyDescent="0.25">
      <c r="A93" s="166"/>
      <c r="B93" s="274" t="s">
        <v>330</v>
      </c>
      <c r="C93" s="236">
        <v>120</v>
      </c>
      <c r="D93" s="244"/>
      <c r="E93" s="244"/>
      <c r="F93" s="348">
        <v>4.32</v>
      </c>
      <c r="G93" s="348">
        <v>4.72</v>
      </c>
      <c r="H93" s="348">
        <v>20.3</v>
      </c>
      <c r="I93" s="348">
        <v>141.15</v>
      </c>
      <c r="J93" s="346" t="s">
        <v>335</v>
      </c>
      <c r="K93" s="2"/>
      <c r="L93" s="377"/>
      <c r="M93" s="378"/>
      <c r="N93" s="379"/>
      <c r="O93" s="379"/>
      <c r="P93" s="357"/>
      <c r="Q93" s="357"/>
      <c r="R93" s="357"/>
      <c r="S93" s="357"/>
      <c r="T93" s="103"/>
    </row>
    <row r="94" spans="1:20" x14ac:dyDescent="0.25">
      <c r="A94" s="166"/>
      <c r="B94" s="134" t="s">
        <v>86</v>
      </c>
      <c r="C94" s="135"/>
      <c r="D94" s="135">
        <v>143.19999999999999</v>
      </c>
      <c r="E94" s="135">
        <v>107.2</v>
      </c>
      <c r="F94" s="3"/>
      <c r="G94" s="3"/>
      <c r="H94" s="3"/>
      <c r="I94" s="3"/>
      <c r="J94" s="4" t="s">
        <v>16</v>
      </c>
      <c r="K94" s="2"/>
      <c r="L94" s="380"/>
      <c r="M94" s="378"/>
      <c r="N94" s="381"/>
      <c r="O94" s="381"/>
      <c r="P94" s="357"/>
      <c r="Q94" s="357"/>
      <c r="R94" s="357"/>
      <c r="S94" s="357"/>
      <c r="T94" s="103"/>
    </row>
    <row r="95" spans="1:20" ht="31.5" x14ac:dyDescent="0.25">
      <c r="A95" s="166"/>
      <c r="B95" s="239" t="s">
        <v>331</v>
      </c>
      <c r="C95" s="236"/>
      <c r="D95" s="382">
        <v>7.2</v>
      </c>
      <c r="E95" s="382">
        <v>7.2</v>
      </c>
      <c r="F95" s="3"/>
      <c r="G95" s="3"/>
      <c r="H95" s="3"/>
      <c r="I95" s="3"/>
      <c r="J95" s="275"/>
      <c r="K95" s="2"/>
      <c r="L95" s="380"/>
      <c r="M95" s="378"/>
      <c r="N95" s="381"/>
      <c r="O95" s="381"/>
      <c r="P95" s="357"/>
      <c r="Q95" s="357"/>
      <c r="R95" s="357"/>
      <c r="S95" s="357"/>
      <c r="T95" s="103"/>
    </row>
    <row r="96" spans="1:20" x14ac:dyDescent="0.25">
      <c r="A96" s="166"/>
      <c r="B96" s="239" t="s">
        <v>78</v>
      </c>
      <c r="C96" s="236"/>
      <c r="D96" s="382" t="s">
        <v>380</v>
      </c>
      <c r="E96" s="382">
        <v>10.4</v>
      </c>
      <c r="F96" s="3"/>
      <c r="G96" s="3"/>
      <c r="H96" s="3"/>
      <c r="I96" s="3"/>
      <c r="J96" s="275"/>
      <c r="K96" s="2"/>
      <c r="L96" s="380"/>
      <c r="M96" s="378"/>
      <c r="N96" s="381"/>
      <c r="O96" s="381"/>
      <c r="P96" s="357"/>
      <c r="Q96" s="357"/>
      <c r="R96" s="357"/>
      <c r="S96" s="357"/>
      <c r="T96" s="103"/>
    </row>
    <row r="97" spans="1:20" ht="31.5" x14ac:dyDescent="0.25">
      <c r="A97" s="166"/>
      <c r="B97" s="276" t="s">
        <v>332</v>
      </c>
      <c r="C97" s="236"/>
      <c r="D97" s="382" t="s">
        <v>173</v>
      </c>
      <c r="E97" s="295">
        <v>25.6</v>
      </c>
      <c r="F97" s="3"/>
      <c r="G97" s="3"/>
      <c r="H97" s="3"/>
      <c r="I97" s="3"/>
      <c r="J97" s="275"/>
      <c r="K97" s="2"/>
      <c r="L97" s="380"/>
      <c r="M97" s="378"/>
      <c r="N97" s="381"/>
      <c r="O97" s="381"/>
      <c r="P97" s="357"/>
      <c r="Q97" s="357"/>
      <c r="R97" s="357"/>
      <c r="S97" s="357"/>
      <c r="T97" s="103"/>
    </row>
    <row r="98" spans="1:20" ht="31.5" x14ac:dyDescent="0.25">
      <c r="A98" s="166"/>
      <c r="B98" s="239" t="s">
        <v>314</v>
      </c>
      <c r="C98" s="236"/>
      <c r="D98" s="382">
        <v>25.6</v>
      </c>
      <c r="E98" s="382">
        <v>25.6</v>
      </c>
      <c r="F98" s="3"/>
      <c r="G98" s="3"/>
      <c r="H98" s="3"/>
      <c r="I98" s="3"/>
      <c r="J98" s="275"/>
      <c r="K98" s="2"/>
      <c r="L98" s="380"/>
      <c r="M98" s="378"/>
      <c r="N98" s="381"/>
      <c r="O98" s="381"/>
      <c r="P98" s="357"/>
      <c r="Q98" s="357"/>
      <c r="R98" s="357"/>
      <c r="S98" s="357"/>
      <c r="T98" s="103"/>
    </row>
    <row r="99" spans="1:20" x14ac:dyDescent="0.25">
      <c r="A99" s="166"/>
      <c r="B99" s="239" t="s">
        <v>63</v>
      </c>
      <c r="C99" s="236"/>
      <c r="D99" s="382">
        <v>2.08</v>
      </c>
      <c r="E99" s="382">
        <v>2.08</v>
      </c>
      <c r="F99" s="3"/>
      <c r="G99" s="3"/>
      <c r="H99" s="3"/>
      <c r="I99" s="3"/>
      <c r="J99" s="275"/>
      <c r="K99" s="2"/>
      <c r="L99" s="380"/>
      <c r="M99" s="378"/>
      <c r="N99" s="381"/>
      <c r="O99" s="381"/>
      <c r="P99" s="357"/>
      <c r="Q99" s="357"/>
      <c r="R99" s="357"/>
      <c r="S99" s="357"/>
      <c r="T99" s="103"/>
    </row>
    <row r="100" spans="1:20" ht="31.5" x14ac:dyDescent="0.25">
      <c r="A100" s="166"/>
      <c r="B100" s="239" t="s">
        <v>60</v>
      </c>
      <c r="C100" s="236"/>
      <c r="D100" s="382">
        <v>2.08</v>
      </c>
      <c r="E100" s="382">
        <v>2.08</v>
      </c>
      <c r="F100" s="3"/>
      <c r="G100" s="3"/>
      <c r="H100" s="3"/>
      <c r="I100" s="3"/>
      <c r="J100" s="160"/>
      <c r="K100" s="2"/>
      <c r="L100" s="380"/>
      <c r="M100" s="378"/>
      <c r="N100" s="381"/>
      <c r="O100" s="381"/>
      <c r="P100" s="378"/>
      <c r="Q100" s="378"/>
      <c r="R100" s="378"/>
      <c r="S100" s="378"/>
      <c r="T100" s="94"/>
    </row>
    <row r="101" spans="1:20" x14ac:dyDescent="0.25">
      <c r="A101" s="166"/>
      <c r="B101" s="134" t="s">
        <v>186</v>
      </c>
      <c r="C101" s="135"/>
      <c r="D101" s="135">
        <v>0.6</v>
      </c>
      <c r="E101" s="135">
        <v>0.6</v>
      </c>
      <c r="F101" s="3"/>
      <c r="G101" s="3"/>
      <c r="H101" s="3"/>
      <c r="I101" s="3"/>
      <c r="J101" s="160"/>
      <c r="L101" s="380"/>
      <c r="M101" s="378"/>
      <c r="N101" s="381"/>
      <c r="O101" s="381"/>
      <c r="P101" s="378"/>
      <c r="Q101" s="378"/>
      <c r="R101" s="378"/>
      <c r="S101" s="378"/>
      <c r="T101" s="94"/>
    </row>
    <row r="102" spans="1:20" ht="31.5" x14ac:dyDescent="0.25">
      <c r="A102" s="3"/>
      <c r="B102" s="15" t="s">
        <v>224</v>
      </c>
      <c r="C102" s="129">
        <v>150</v>
      </c>
      <c r="D102" s="130"/>
      <c r="E102" s="130"/>
      <c r="F102" s="46">
        <v>0.09</v>
      </c>
      <c r="G102" s="46">
        <v>0</v>
      </c>
      <c r="H102" s="46">
        <v>16.96</v>
      </c>
      <c r="I102" s="46">
        <v>66.180000000000007</v>
      </c>
      <c r="J102" s="275"/>
      <c r="K102" s="2"/>
      <c r="L102" s="383"/>
      <c r="M102" s="378"/>
      <c r="N102" s="381"/>
      <c r="O102" s="384"/>
      <c r="P102" s="378"/>
      <c r="Q102" s="378"/>
      <c r="R102" s="378"/>
      <c r="S102" s="378"/>
      <c r="T102" s="94"/>
    </row>
    <row r="103" spans="1:20" x14ac:dyDescent="0.25">
      <c r="A103" s="3"/>
      <c r="B103" s="3" t="s">
        <v>225</v>
      </c>
      <c r="C103" s="130"/>
      <c r="D103" s="130">
        <v>18.75</v>
      </c>
      <c r="E103" s="130">
        <v>18.75</v>
      </c>
      <c r="F103" s="4"/>
      <c r="G103" s="4"/>
      <c r="H103" s="4"/>
      <c r="I103" s="4"/>
      <c r="J103" s="275"/>
      <c r="K103" s="2"/>
      <c r="L103" s="380"/>
      <c r="M103" s="378"/>
      <c r="N103" s="381"/>
      <c r="O103" s="381"/>
      <c r="P103" s="378"/>
      <c r="Q103" s="378"/>
      <c r="R103" s="378"/>
      <c r="S103" s="378"/>
      <c r="T103" s="94"/>
    </row>
    <row r="104" spans="1:20" x14ac:dyDescent="0.25">
      <c r="A104" s="3"/>
      <c r="B104" s="3" t="s">
        <v>197</v>
      </c>
      <c r="C104" s="130"/>
      <c r="D104" s="130">
        <v>138.75</v>
      </c>
      <c r="E104" s="130">
        <v>138.75</v>
      </c>
      <c r="F104" s="4"/>
      <c r="G104" s="4"/>
      <c r="H104" s="4"/>
      <c r="I104" s="4"/>
      <c r="J104" s="3"/>
      <c r="K104" s="2"/>
      <c r="L104" s="380"/>
      <c r="M104" s="378"/>
      <c r="N104" s="381"/>
      <c r="O104" s="381"/>
      <c r="P104" s="378"/>
      <c r="Q104" s="378"/>
      <c r="R104" s="378"/>
      <c r="S104" s="378"/>
      <c r="T104" s="94"/>
    </row>
    <row r="105" spans="1:20" x14ac:dyDescent="0.25">
      <c r="A105" s="3"/>
      <c r="B105" s="3"/>
      <c r="C105" s="130"/>
      <c r="D105" s="130"/>
      <c r="E105" s="130"/>
      <c r="F105" s="4"/>
      <c r="G105" s="4"/>
      <c r="H105" s="4"/>
      <c r="I105" s="4"/>
      <c r="J105" s="3"/>
      <c r="K105" s="2"/>
      <c r="L105" s="380"/>
      <c r="M105" s="378"/>
      <c r="N105" s="381"/>
      <c r="O105" s="381"/>
      <c r="P105" s="378"/>
      <c r="Q105" s="378"/>
      <c r="R105" s="378"/>
      <c r="S105" s="378"/>
      <c r="T105" s="94"/>
    </row>
    <row r="106" spans="1:20" x14ac:dyDescent="0.25">
      <c r="A106" s="3"/>
      <c r="B106" s="97" t="s">
        <v>297</v>
      </c>
      <c r="C106" s="126">
        <v>95</v>
      </c>
      <c r="D106" s="122">
        <v>108.3</v>
      </c>
      <c r="E106" s="122">
        <f>C106</f>
        <v>95</v>
      </c>
      <c r="F106" s="126">
        <f>C106*0.44/K106</f>
        <v>0.37999999999999995</v>
      </c>
      <c r="G106" s="126">
        <f>C106*0.44/K106</f>
        <v>0.37999999999999995</v>
      </c>
      <c r="H106" s="126">
        <f>C106*10.78/K106</f>
        <v>9.3099999999999987</v>
      </c>
      <c r="I106" s="126">
        <v>42.75</v>
      </c>
      <c r="J106" s="3"/>
      <c r="K106" s="2">
        <v>110</v>
      </c>
      <c r="L106" s="380"/>
      <c r="M106" s="378"/>
      <c r="N106" s="381"/>
      <c r="O106" s="381"/>
      <c r="P106" s="378"/>
      <c r="Q106" s="378"/>
      <c r="R106" s="378"/>
      <c r="S106" s="378"/>
      <c r="T106" s="94"/>
    </row>
    <row r="107" spans="1:20" x14ac:dyDescent="0.25">
      <c r="A107" s="3"/>
      <c r="B107" s="97" t="s">
        <v>28</v>
      </c>
      <c r="C107" s="129">
        <v>10</v>
      </c>
      <c r="D107" s="130">
        <f>C107</f>
        <v>10</v>
      </c>
      <c r="E107" s="130">
        <f>C107</f>
        <v>10</v>
      </c>
      <c r="F107" s="126">
        <f>C107*1.52/20</f>
        <v>0.76</v>
      </c>
      <c r="G107" s="126">
        <f>C107*0.18/K107</f>
        <v>0.09</v>
      </c>
      <c r="H107" s="126">
        <f>C107*9.34/K107</f>
        <v>4.67</v>
      </c>
      <c r="I107" s="126">
        <f>C107*46.2/K107</f>
        <v>23.1</v>
      </c>
      <c r="J107" s="3"/>
      <c r="K107" s="72">
        <v>20</v>
      </c>
      <c r="L107" s="380"/>
      <c r="M107" s="378"/>
      <c r="N107" s="381"/>
      <c r="O107" s="381"/>
      <c r="P107" s="378"/>
      <c r="Q107" s="378"/>
      <c r="R107" s="378"/>
      <c r="S107" s="378"/>
      <c r="T107" s="94"/>
    </row>
    <row r="108" spans="1:20" x14ac:dyDescent="0.25">
      <c r="A108" s="3"/>
      <c r="B108" s="125" t="s">
        <v>84</v>
      </c>
      <c r="C108" s="129">
        <v>10</v>
      </c>
      <c r="D108" s="80">
        <f>C108</f>
        <v>10</v>
      </c>
      <c r="E108" s="80">
        <f>C108</f>
        <v>10</v>
      </c>
      <c r="F108" s="129">
        <f>C108*1.54/K108</f>
        <v>0.77</v>
      </c>
      <c r="G108" s="129">
        <f>C108*0.28/K108</f>
        <v>0.14000000000000001</v>
      </c>
      <c r="H108" s="129">
        <f>C108*7.52/K108</f>
        <v>3.7599999999999993</v>
      </c>
      <c r="I108" s="129">
        <f>C108*40.2/K108</f>
        <v>20.100000000000001</v>
      </c>
      <c r="J108" s="3"/>
      <c r="K108" s="72">
        <v>20</v>
      </c>
      <c r="L108" s="69"/>
      <c r="M108" s="69"/>
      <c r="N108" s="69"/>
      <c r="O108" s="69"/>
      <c r="P108" s="69"/>
      <c r="Q108" s="205"/>
      <c r="R108" s="205"/>
      <c r="S108" s="205"/>
      <c r="T108" s="205"/>
    </row>
    <row r="109" spans="1:20" x14ac:dyDescent="0.25">
      <c r="A109" s="5" t="s">
        <v>81</v>
      </c>
      <c r="B109" s="5"/>
      <c r="C109" s="8">
        <f>SUM(C81:C108)</f>
        <v>445</v>
      </c>
      <c r="D109" s="5"/>
      <c r="E109" s="5"/>
      <c r="F109" s="225">
        <f>SUM(F81:F108)</f>
        <v>12.530000000000001</v>
      </c>
      <c r="G109" s="225">
        <f>SUM(G81:G108)</f>
        <v>8.7600000000000016</v>
      </c>
      <c r="H109" s="225">
        <f>SUM(H81:H108)</f>
        <v>58.199999999999996</v>
      </c>
      <c r="I109" s="225">
        <f>SUM(I81:I108)</f>
        <v>361.88000000000005</v>
      </c>
      <c r="J109" s="5"/>
      <c r="K109" s="2"/>
      <c r="L109" s="2"/>
      <c r="M109" s="2"/>
      <c r="N109" s="2"/>
      <c r="O109" s="2"/>
      <c r="P109" s="2"/>
    </row>
    <row r="110" spans="1:20" x14ac:dyDescent="0.25">
      <c r="A110" s="13" t="s">
        <v>82</v>
      </c>
      <c r="B110" s="13"/>
      <c r="C110" s="13"/>
      <c r="D110" s="13"/>
      <c r="E110" s="13"/>
      <c r="F110" s="68">
        <f>F24+F26+F66+F80+F109</f>
        <v>64.542758620689654</v>
      </c>
      <c r="G110" s="68">
        <f>G24+G26+G66+G80+G109</f>
        <v>57.570258620689657</v>
      </c>
      <c r="H110" s="68">
        <f>H24+H26+H66+H80+H109</f>
        <v>260.65500000000003</v>
      </c>
      <c r="I110" s="68">
        <f>I24+I26+I66+I80+I109</f>
        <v>1757.6058620689655</v>
      </c>
      <c r="J110" s="13"/>
      <c r="K110" s="2"/>
      <c r="L110" s="2"/>
      <c r="M110" s="2"/>
      <c r="N110" s="2"/>
      <c r="O110" s="2"/>
      <c r="P110" s="2"/>
    </row>
    <row r="111" spans="1:20" ht="16.5" thickBot="1" x14ac:dyDescent="0.3">
      <c r="J111" s="2"/>
      <c r="K111" s="2"/>
      <c r="L111" s="2"/>
      <c r="M111" s="2"/>
      <c r="N111" s="2"/>
      <c r="O111" s="2"/>
      <c r="P111" s="2"/>
    </row>
    <row r="112" spans="1:20" ht="16.5" thickBot="1" x14ac:dyDescent="0.3">
      <c r="A112" s="182" t="s">
        <v>131</v>
      </c>
      <c r="B112" s="183" t="s">
        <v>132</v>
      </c>
      <c r="C112" s="184" t="s">
        <v>133</v>
      </c>
      <c r="D112" s="185" t="s">
        <v>134</v>
      </c>
      <c r="E112" s="186"/>
      <c r="F112" s="186"/>
      <c r="G112" s="186"/>
      <c r="H112" s="186"/>
      <c r="J112" s="2"/>
      <c r="K112" s="2"/>
      <c r="L112" s="2"/>
      <c r="M112" s="2"/>
      <c r="N112" s="2"/>
      <c r="O112" s="2"/>
      <c r="P112" s="2"/>
    </row>
    <row r="113" spans="1:16" x14ac:dyDescent="0.25">
      <c r="A113" s="187" t="s">
        <v>135</v>
      </c>
      <c r="B113" s="188">
        <f>I24</f>
        <v>362.51</v>
      </c>
      <c r="C113" s="189">
        <f>B113/B118*100</f>
        <v>20.625215688190263</v>
      </c>
      <c r="D113" s="190">
        <v>0.2</v>
      </c>
      <c r="E113" s="70"/>
      <c r="F113" s="70"/>
      <c r="G113" s="191"/>
      <c r="H113" s="192"/>
      <c r="J113" s="2"/>
      <c r="K113" s="2"/>
      <c r="L113" s="2"/>
      <c r="M113" s="2"/>
      <c r="N113" s="2"/>
      <c r="O113" s="2"/>
      <c r="P113" s="2"/>
    </row>
    <row r="114" spans="1:16" x14ac:dyDescent="0.25">
      <c r="A114" s="187" t="s">
        <v>136</v>
      </c>
      <c r="B114" s="188">
        <f>I26</f>
        <v>64.400000000000006</v>
      </c>
      <c r="C114" s="189">
        <f>B114/B118*100</f>
        <v>3.6640751712213544</v>
      </c>
      <c r="D114" s="190">
        <v>0.05</v>
      </c>
      <c r="E114" s="70"/>
      <c r="F114" s="70"/>
      <c r="G114" s="191"/>
      <c r="H114" s="192"/>
      <c r="J114" s="2"/>
      <c r="K114" s="2"/>
      <c r="L114" s="2"/>
      <c r="M114" s="2"/>
      <c r="N114" s="2"/>
      <c r="O114" s="2"/>
      <c r="P114" s="2"/>
    </row>
    <row r="115" spans="1:16" x14ac:dyDescent="0.25">
      <c r="A115" s="193" t="s">
        <v>137</v>
      </c>
      <c r="B115" s="194">
        <f>I66</f>
        <v>701.85586206896551</v>
      </c>
      <c r="C115" s="195">
        <f>B115/B118*100</f>
        <v>39.932494378618877</v>
      </c>
      <c r="D115" s="196">
        <v>0.35</v>
      </c>
      <c r="E115" s="70"/>
      <c r="F115" s="70"/>
      <c r="G115" s="191"/>
      <c r="H115" s="157"/>
      <c r="J115" s="2"/>
      <c r="K115" s="2"/>
      <c r="L115" s="2"/>
      <c r="M115" s="2"/>
      <c r="N115" s="2"/>
      <c r="O115" s="2"/>
      <c r="P115" s="2"/>
    </row>
    <row r="116" spans="1:16" x14ac:dyDescent="0.25">
      <c r="A116" s="193" t="s">
        <v>138</v>
      </c>
      <c r="B116" s="194">
        <f>I80</f>
        <v>266.95999999999998</v>
      </c>
      <c r="C116" s="195">
        <f>B116/B118*100</f>
        <v>15.188843287410753</v>
      </c>
      <c r="D116" s="196">
        <v>0.15</v>
      </c>
      <c r="E116" s="70"/>
      <c r="F116" s="70"/>
      <c r="G116" s="191"/>
      <c r="H116" s="192"/>
      <c r="J116" s="2"/>
      <c r="K116" s="2"/>
      <c r="L116" s="2"/>
      <c r="M116" s="2"/>
      <c r="N116" s="2"/>
      <c r="O116" s="2"/>
      <c r="P116" s="2"/>
    </row>
    <row r="117" spans="1:16" ht="16.5" thickBot="1" x14ac:dyDescent="0.3">
      <c r="A117" s="193" t="s">
        <v>139</v>
      </c>
      <c r="B117" s="194">
        <f>I109</f>
        <v>361.88000000000005</v>
      </c>
      <c r="C117" s="195">
        <f>B117/B118*100</f>
        <v>20.589371474558753</v>
      </c>
      <c r="D117" s="196">
        <v>0.25</v>
      </c>
      <c r="E117" s="70"/>
      <c r="F117" s="70"/>
      <c r="G117" s="191"/>
      <c r="H117" s="192"/>
      <c r="J117" s="2"/>
      <c r="K117" s="2"/>
      <c r="L117" s="2"/>
      <c r="M117" s="2"/>
      <c r="N117" s="2"/>
      <c r="O117" s="2"/>
      <c r="P117" s="2"/>
    </row>
    <row r="118" spans="1:16" ht="16.5" thickBot="1" x14ac:dyDescent="0.3">
      <c r="A118" s="197" t="s">
        <v>140</v>
      </c>
      <c r="B118" s="198">
        <f>SUM(B113:B117)</f>
        <v>1757.6058620689655</v>
      </c>
      <c r="C118" s="199"/>
      <c r="D118" s="200"/>
      <c r="E118" s="70"/>
      <c r="F118" s="70"/>
      <c r="G118" s="70"/>
      <c r="H118" s="70"/>
      <c r="J118" s="2"/>
      <c r="K118" s="2"/>
      <c r="L118" s="2"/>
      <c r="M118" s="2"/>
      <c r="N118" s="2"/>
      <c r="O118" s="2"/>
      <c r="P118" s="2"/>
    </row>
    <row r="119" spans="1:16" x14ac:dyDescent="0.25"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08"/>
  <sheetViews>
    <sheetView view="pageBreakPreview" topLeftCell="A91" zoomScale="95" zoomScaleSheetLayoutView="95" workbookViewId="0">
      <selection activeCell="A6" sqref="A6"/>
    </sheetView>
  </sheetViews>
  <sheetFormatPr defaultRowHeight="15.75" x14ac:dyDescent="0.25"/>
  <cols>
    <col min="1" max="1" width="19" style="2" customWidth="1"/>
    <col min="2" max="2" width="20" style="2" customWidth="1"/>
    <col min="3" max="3" width="9.140625" style="2"/>
    <col min="4" max="4" width="12.5703125" style="78" bestFit="1" customWidth="1"/>
    <col min="5" max="5" width="9.140625" style="78"/>
    <col min="6" max="16384" width="9.140625" style="2"/>
  </cols>
  <sheetData>
    <row r="1" spans="1:11" x14ac:dyDescent="0.25">
      <c r="A1" s="407" t="s">
        <v>0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1" x14ac:dyDescent="0.25">
      <c r="A2" s="2" t="s">
        <v>383</v>
      </c>
    </row>
    <row r="4" spans="1:11" x14ac:dyDescent="0.25">
      <c r="A4" s="411" t="s">
        <v>1</v>
      </c>
      <c r="B4" s="411" t="s">
        <v>2</v>
      </c>
      <c r="C4" s="411" t="s">
        <v>3</v>
      </c>
      <c r="D4" s="415" t="s">
        <v>12</v>
      </c>
      <c r="E4" s="418"/>
      <c r="F4" s="409" t="s">
        <v>7</v>
      </c>
      <c r="G4" s="409"/>
      <c r="H4" s="409"/>
      <c r="I4" s="411" t="s">
        <v>8</v>
      </c>
      <c r="J4" s="409" t="s">
        <v>9</v>
      </c>
    </row>
    <row r="5" spans="1:11" x14ac:dyDescent="0.25">
      <c r="A5" s="411"/>
      <c r="B5" s="411"/>
      <c r="C5" s="411"/>
      <c r="D5" s="79" t="s">
        <v>10</v>
      </c>
      <c r="E5" s="79" t="s">
        <v>11</v>
      </c>
      <c r="F5" s="4" t="s">
        <v>4</v>
      </c>
      <c r="G5" s="4" t="s">
        <v>5</v>
      </c>
      <c r="H5" s="4" t="s">
        <v>6</v>
      </c>
      <c r="I5" s="411"/>
      <c r="J5" s="409"/>
    </row>
    <row r="6" spans="1:11" x14ac:dyDescent="0.25">
      <c r="A6" s="201" t="s">
        <v>318</v>
      </c>
      <c r="B6" s="3"/>
      <c r="C6" s="3"/>
      <c r="D6" s="80"/>
      <c r="E6" s="80"/>
      <c r="F6" s="3"/>
      <c r="G6" s="3"/>
      <c r="H6" s="3"/>
      <c r="I6" s="3"/>
      <c r="J6" s="3"/>
    </row>
    <row r="7" spans="1:11" ht="26.25" customHeight="1" x14ac:dyDescent="0.25">
      <c r="A7" s="4" t="s">
        <v>14</v>
      </c>
      <c r="B7" s="125" t="s">
        <v>320</v>
      </c>
      <c r="C7" s="46">
        <v>150</v>
      </c>
      <c r="D7" s="170"/>
      <c r="E7" s="170"/>
      <c r="F7" s="126">
        <v>13.42</v>
      </c>
      <c r="G7" s="126">
        <v>20.83</v>
      </c>
      <c r="H7" s="126">
        <v>3.52</v>
      </c>
      <c r="I7" s="126">
        <v>255.34</v>
      </c>
      <c r="J7" s="46" t="s">
        <v>176</v>
      </c>
      <c r="K7" s="2">
        <v>200</v>
      </c>
    </row>
    <row r="8" spans="1:11" x14ac:dyDescent="0.25">
      <c r="A8" s="3"/>
      <c r="B8" s="66" t="s">
        <v>191</v>
      </c>
      <c r="C8" s="66"/>
      <c r="D8" s="127" t="s">
        <v>393</v>
      </c>
      <c r="E8" s="127">
        <v>114</v>
      </c>
      <c r="F8" s="122"/>
      <c r="G8" s="122"/>
      <c r="H8" s="122"/>
      <c r="I8" s="122"/>
      <c r="J8" s="46" t="s">
        <v>42</v>
      </c>
    </row>
    <row r="9" spans="1:11" x14ac:dyDescent="0.25">
      <c r="A9" s="3"/>
      <c r="B9" s="66" t="s">
        <v>26</v>
      </c>
      <c r="C9" s="66"/>
      <c r="D9" s="127">
        <v>43</v>
      </c>
      <c r="E9" s="127">
        <v>43</v>
      </c>
      <c r="F9" s="122"/>
      <c r="G9" s="122"/>
      <c r="H9" s="122"/>
      <c r="I9" s="122"/>
      <c r="J9" s="46"/>
    </row>
    <row r="10" spans="1:11" x14ac:dyDescent="0.25">
      <c r="A10" s="3"/>
      <c r="B10" s="66" t="s">
        <v>20</v>
      </c>
      <c r="C10" s="66"/>
      <c r="D10" s="127">
        <v>0.5</v>
      </c>
      <c r="E10" s="127">
        <v>0.5</v>
      </c>
      <c r="F10" s="122"/>
      <c r="G10" s="122"/>
      <c r="H10" s="122"/>
      <c r="I10" s="122"/>
      <c r="J10" s="46"/>
    </row>
    <row r="11" spans="1:11" x14ac:dyDescent="0.25">
      <c r="A11" s="3"/>
      <c r="B11" s="66" t="s">
        <v>22</v>
      </c>
      <c r="C11" s="66"/>
      <c r="D11" s="127">
        <v>7</v>
      </c>
      <c r="E11" s="127">
        <v>7</v>
      </c>
      <c r="F11" s="122"/>
      <c r="G11" s="122"/>
      <c r="H11" s="122"/>
      <c r="I11" s="122"/>
      <c r="J11" s="46"/>
    </row>
    <row r="12" spans="1:11" ht="47.25" x14ac:dyDescent="0.25">
      <c r="A12" s="3"/>
      <c r="B12" s="45" t="s">
        <v>24</v>
      </c>
      <c r="C12" s="126">
        <v>170</v>
      </c>
      <c r="D12" s="66"/>
      <c r="E12" s="66"/>
      <c r="F12" s="126">
        <v>3.23</v>
      </c>
      <c r="G12" s="126">
        <v>2.97</v>
      </c>
      <c r="H12" s="126">
        <v>9.52</v>
      </c>
      <c r="I12" s="126">
        <v>77.52</v>
      </c>
      <c r="J12" s="46" t="s">
        <v>425</v>
      </c>
    </row>
    <row r="13" spans="1:11" x14ac:dyDescent="0.25">
      <c r="A13" s="3"/>
      <c r="B13" s="134" t="s">
        <v>25</v>
      </c>
      <c r="C13" s="234"/>
      <c r="D13" s="135">
        <v>4.25</v>
      </c>
      <c r="E13" s="135">
        <v>4.25</v>
      </c>
      <c r="F13" s="122"/>
      <c r="G13" s="122"/>
      <c r="H13" s="122"/>
      <c r="I13" s="122"/>
      <c r="J13" s="46"/>
    </row>
    <row r="14" spans="1:11" x14ac:dyDescent="0.25">
      <c r="A14" s="3"/>
      <c r="B14" s="134" t="s">
        <v>19</v>
      </c>
      <c r="C14" s="234"/>
      <c r="D14" s="135">
        <v>5.95</v>
      </c>
      <c r="E14" s="135">
        <v>5.95</v>
      </c>
      <c r="F14" s="122"/>
      <c r="G14" s="122"/>
      <c r="H14" s="122"/>
      <c r="I14" s="122"/>
      <c r="J14" s="46"/>
    </row>
    <row r="15" spans="1:11" x14ac:dyDescent="0.25">
      <c r="A15" s="3"/>
      <c r="B15" s="134" t="s">
        <v>26</v>
      </c>
      <c r="C15" s="234"/>
      <c r="D15" s="135">
        <v>85</v>
      </c>
      <c r="E15" s="135">
        <v>85</v>
      </c>
      <c r="F15" s="122"/>
      <c r="G15" s="122"/>
      <c r="H15" s="122"/>
      <c r="I15" s="122"/>
      <c r="J15" s="66"/>
    </row>
    <row r="16" spans="1:11" x14ac:dyDescent="0.25">
      <c r="A16" s="3"/>
      <c r="B16" s="134" t="s">
        <v>27</v>
      </c>
      <c r="C16" s="234"/>
      <c r="D16" s="135">
        <v>102</v>
      </c>
      <c r="E16" s="135">
        <v>102</v>
      </c>
      <c r="F16" s="122"/>
      <c r="G16" s="122"/>
      <c r="H16" s="122"/>
      <c r="I16" s="122"/>
      <c r="J16" s="66"/>
    </row>
    <row r="17" spans="1:23" x14ac:dyDescent="0.25">
      <c r="A17" s="3"/>
      <c r="B17" s="97" t="s">
        <v>28</v>
      </c>
      <c r="C17" s="126">
        <v>20</v>
      </c>
      <c r="D17" s="122">
        <f>C17</f>
        <v>20</v>
      </c>
      <c r="E17" s="122">
        <f>C17</f>
        <v>20</v>
      </c>
      <c r="F17" s="126">
        <f>C17*1.52/20</f>
        <v>1.52</v>
      </c>
      <c r="G17" s="126">
        <f>C17*0.18/K17</f>
        <v>0.18</v>
      </c>
      <c r="H17" s="126">
        <f>C17*9.34/K17</f>
        <v>9.34</v>
      </c>
      <c r="I17" s="126">
        <f>C17*46.2/K17</f>
        <v>46.2</v>
      </c>
      <c r="J17" s="66"/>
      <c r="K17" s="72">
        <v>20</v>
      </c>
    </row>
    <row r="18" spans="1:23" x14ac:dyDescent="0.25">
      <c r="A18" s="3"/>
      <c r="B18" s="125" t="s">
        <v>84</v>
      </c>
      <c r="C18" s="129">
        <v>10</v>
      </c>
      <c r="D18" s="130">
        <f>C18</f>
        <v>10</v>
      </c>
      <c r="E18" s="130">
        <f>C18</f>
        <v>10</v>
      </c>
      <c r="F18" s="129">
        <f>C18*1.54/K18</f>
        <v>0.77</v>
      </c>
      <c r="G18" s="129">
        <f>C18*0.28/K18</f>
        <v>0.14000000000000001</v>
      </c>
      <c r="H18" s="129">
        <f>C18*7.52/K18</f>
        <v>3.7599999999999993</v>
      </c>
      <c r="I18" s="129">
        <f>C18*40.2/K18</f>
        <v>20.100000000000001</v>
      </c>
      <c r="J18" s="3"/>
      <c r="K18" s="72">
        <v>20</v>
      </c>
    </row>
    <row r="19" spans="1:23" x14ac:dyDescent="0.25">
      <c r="A19" s="5" t="s">
        <v>30</v>
      </c>
      <c r="B19" s="6"/>
      <c r="C19" s="8">
        <f>SUM(C7:C18)</f>
        <v>350</v>
      </c>
      <c r="D19" s="81"/>
      <c r="E19" s="81"/>
      <c r="F19" s="8">
        <f>SUM(F7:F18)</f>
        <v>18.939999999999998</v>
      </c>
      <c r="G19" s="8">
        <f>SUM(G7:G18)</f>
        <v>24.119999999999997</v>
      </c>
      <c r="H19" s="8">
        <f>SUM(H7:H18)</f>
        <v>26.139999999999997</v>
      </c>
      <c r="I19" s="8">
        <f>SUM(I7:I18)</f>
        <v>399.16</v>
      </c>
      <c r="J19" s="6"/>
    </row>
    <row r="20" spans="1:23" x14ac:dyDescent="0.25">
      <c r="A20" s="4" t="s">
        <v>31</v>
      </c>
      <c r="B20" s="97" t="s">
        <v>297</v>
      </c>
      <c r="C20" s="126">
        <v>100</v>
      </c>
      <c r="D20" s="122">
        <v>114</v>
      </c>
      <c r="E20" s="122">
        <f>C20</f>
        <v>100</v>
      </c>
      <c r="F20" s="126">
        <f>C20*0.44/K20</f>
        <v>0.4</v>
      </c>
      <c r="G20" s="126">
        <f>C20*0.44/K20</f>
        <v>0.4</v>
      </c>
      <c r="H20" s="126">
        <f>C20*10.78/K20</f>
        <v>9.8000000000000007</v>
      </c>
      <c r="I20" s="126">
        <v>45</v>
      </c>
      <c r="J20" s="3"/>
      <c r="K20" s="2">
        <v>110</v>
      </c>
    </row>
    <row r="21" spans="1:23" ht="31.5" x14ac:dyDescent="0.25">
      <c r="A21" s="9" t="s">
        <v>32</v>
      </c>
      <c r="B21" s="6"/>
      <c r="C21" s="6"/>
      <c r="D21" s="81"/>
      <c r="E21" s="81"/>
      <c r="F21" s="8">
        <f>SUM(F20)</f>
        <v>0.4</v>
      </c>
      <c r="G21" s="8">
        <f>SUM(G20)</f>
        <v>0.4</v>
      </c>
      <c r="H21" s="8">
        <f>SUM(H20)</f>
        <v>9.8000000000000007</v>
      </c>
      <c r="I21" s="8">
        <f>SUM(I20)</f>
        <v>45</v>
      </c>
      <c r="J21" s="6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3" x14ac:dyDescent="0.25">
      <c r="A22" s="10" t="s">
        <v>33</v>
      </c>
      <c r="B22" s="97" t="s">
        <v>264</v>
      </c>
      <c r="C22" s="126">
        <v>40</v>
      </c>
      <c r="D22" s="127"/>
      <c r="E22" s="127"/>
      <c r="F22" s="105">
        <v>1.24</v>
      </c>
      <c r="G22" s="105">
        <v>0.08</v>
      </c>
      <c r="H22" s="105">
        <v>2.6</v>
      </c>
      <c r="I22" s="105">
        <v>16</v>
      </c>
      <c r="J22" s="46" t="s">
        <v>420</v>
      </c>
      <c r="L22" s="69"/>
      <c r="M22" s="106"/>
      <c r="N22" s="156"/>
      <c r="O22" s="280"/>
      <c r="P22" s="280"/>
      <c r="Q22" s="331"/>
      <c r="R22" s="331"/>
      <c r="S22" s="331"/>
      <c r="T22" s="331"/>
      <c r="U22" s="103"/>
      <c r="V22" s="69"/>
      <c r="W22" s="69"/>
    </row>
    <row r="23" spans="1:23" x14ac:dyDescent="0.25">
      <c r="A23" s="3"/>
      <c r="B23" s="66" t="s">
        <v>265</v>
      </c>
      <c r="C23" s="126"/>
      <c r="D23" s="127">
        <v>67.2</v>
      </c>
      <c r="E23" s="127">
        <v>43.6</v>
      </c>
      <c r="F23" s="105"/>
      <c r="G23" s="105"/>
      <c r="H23" s="105"/>
      <c r="I23" s="105"/>
      <c r="J23" s="46" t="s">
        <v>16</v>
      </c>
      <c r="L23" s="69"/>
      <c r="M23" s="70"/>
      <c r="N23" s="156"/>
      <c r="O23" s="280"/>
      <c r="P23" s="280"/>
      <c r="Q23" s="331"/>
      <c r="R23" s="331"/>
      <c r="S23" s="331"/>
      <c r="T23" s="331"/>
      <c r="U23" s="103"/>
      <c r="V23" s="69"/>
      <c r="W23" s="69"/>
    </row>
    <row r="24" spans="1:23" ht="63" x14ac:dyDescent="0.25">
      <c r="A24" s="48"/>
      <c r="B24" s="385" t="s">
        <v>421</v>
      </c>
      <c r="C24" s="386">
        <v>155</v>
      </c>
      <c r="D24" s="387"/>
      <c r="E24" s="387"/>
      <c r="F24" s="388">
        <v>3.13</v>
      </c>
      <c r="G24" s="388">
        <v>2.65</v>
      </c>
      <c r="H24" s="388">
        <v>13.34</v>
      </c>
      <c r="I24" s="388">
        <v>88.3</v>
      </c>
      <c r="J24" s="4" t="s">
        <v>422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3" ht="31.5" x14ac:dyDescent="0.25">
      <c r="A25" s="48"/>
      <c r="B25" s="152" t="s">
        <v>451</v>
      </c>
      <c r="C25" s="364"/>
      <c r="D25" s="127">
        <v>14.75</v>
      </c>
      <c r="E25" s="127">
        <v>13.1</v>
      </c>
      <c r="F25" s="238"/>
      <c r="G25" s="238"/>
      <c r="H25" s="238"/>
      <c r="I25" s="238"/>
      <c r="J25" s="4" t="s">
        <v>16</v>
      </c>
    </row>
    <row r="26" spans="1:23" x14ac:dyDescent="0.25">
      <c r="A26" s="48"/>
      <c r="B26" s="389" t="s">
        <v>27</v>
      </c>
      <c r="C26" s="364"/>
      <c r="D26" s="127">
        <v>130</v>
      </c>
      <c r="E26" s="127">
        <v>130</v>
      </c>
      <c r="F26" s="238"/>
      <c r="G26" s="238"/>
      <c r="H26" s="238"/>
      <c r="I26" s="238"/>
      <c r="J26" s="4"/>
    </row>
    <row r="27" spans="1:23" ht="31.5" x14ac:dyDescent="0.25">
      <c r="A27" s="48"/>
      <c r="B27" s="389" t="s">
        <v>323</v>
      </c>
      <c r="C27" s="364"/>
      <c r="D27" s="127" t="s">
        <v>382</v>
      </c>
      <c r="E27" s="127">
        <v>5</v>
      </c>
      <c r="F27" s="238"/>
      <c r="G27" s="238"/>
      <c r="H27" s="238"/>
      <c r="I27" s="238"/>
      <c r="J27" s="4"/>
    </row>
    <row r="28" spans="1:23" ht="31.5" x14ac:dyDescent="0.25">
      <c r="A28" s="48"/>
      <c r="B28" s="389" t="s">
        <v>324</v>
      </c>
      <c r="C28" s="364"/>
      <c r="D28" s="390"/>
      <c r="E28" s="390">
        <v>113</v>
      </c>
      <c r="F28" s="238"/>
      <c r="G28" s="238"/>
      <c r="H28" s="238"/>
      <c r="I28" s="238"/>
      <c r="J28" s="4"/>
    </row>
    <row r="29" spans="1:23" ht="31.5" x14ac:dyDescent="0.25">
      <c r="A29" s="48"/>
      <c r="B29" s="389" t="s">
        <v>184</v>
      </c>
      <c r="C29" s="364"/>
      <c r="D29" s="390">
        <v>6</v>
      </c>
      <c r="E29" s="390">
        <v>6</v>
      </c>
      <c r="F29" s="238"/>
      <c r="G29" s="238"/>
      <c r="H29" s="238"/>
      <c r="I29" s="238"/>
      <c r="J29" s="4"/>
    </row>
    <row r="30" spans="1:23" x14ac:dyDescent="0.25">
      <c r="A30" s="48"/>
      <c r="B30" s="389" t="s">
        <v>86</v>
      </c>
      <c r="C30" s="364"/>
      <c r="D30" s="390">
        <v>60</v>
      </c>
      <c r="E30" s="390">
        <v>45</v>
      </c>
      <c r="F30" s="238"/>
      <c r="G30" s="238"/>
      <c r="H30" s="238"/>
      <c r="I30" s="238"/>
      <c r="J30" s="4"/>
    </row>
    <row r="31" spans="1:23" x14ac:dyDescent="0.25">
      <c r="A31" s="48"/>
      <c r="B31" s="389" t="s">
        <v>238</v>
      </c>
      <c r="C31" s="364"/>
      <c r="D31" s="390">
        <v>7.5</v>
      </c>
      <c r="E31" s="390">
        <v>6</v>
      </c>
      <c r="F31" s="238"/>
      <c r="G31" s="238"/>
      <c r="H31" s="238"/>
      <c r="I31" s="238"/>
      <c r="J31" s="4"/>
    </row>
    <row r="32" spans="1:23" x14ac:dyDescent="0.25">
      <c r="A32" s="48"/>
      <c r="B32" s="389" t="s">
        <v>205</v>
      </c>
      <c r="C32" s="364"/>
      <c r="D32" s="390">
        <v>7</v>
      </c>
      <c r="E32" s="390">
        <v>6</v>
      </c>
      <c r="F32" s="238"/>
      <c r="G32" s="238"/>
      <c r="H32" s="238"/>
      <c r="I32" s="238"/>
      <c r="J32" s="4"/>
    </row>
    <row r="33" spans="1:11" ht="31.5" x14ac:dyDescent="0.25">
      <c r="A33" s="48"/>
      <c r="B33" s="389" t="s">
        <v>60</v>
      </c>
      <c r="C33" s="364"/>
      <c r="D33" s="390">
        <v>2.25</v>
      </c>
      <c r="E33" s="390">
        <v>2.25</v>
      </c>
      <c r="F33" s="238"/>
      <c r="G33" s="238"/>
      <c r="H33" s="238"/>
      <c r="I33" s="238"/>
      <c r="J33" s="4"/>
    </row>
    <row r="34" spans="1:11" x14ac:dyDescent="0.25">
      <c r="A34" s="3"/>
      <c r="B34" s="391" t="s">
        <v>240</v>
      </c>
      <c r="C34" s="392"/>
      <c r="D34" s="382">
        <v>1.35</v>
      </c>
      <c r="E34" s="382">
        <v>1</v>
      </c>
      <c r="F34" s="241"/>
      <c r="G34" s="241"/>
      <c r="H34" s="241"/>
      <c r="I34" s="241"/>
      <c r="J34" s="4"/>
    </row>
    <row r="35" spans="1:11" x14ac:dyDescent="0.25">
      <c r="A35" s="3"/>
      <c r="B35" s="391" t="s">
        <v>186</v>
      </c>
      <c r="C35" s="392"/>
      <c r="D35" s="382">
        <v>0.5</v>
      </c>
      <c r="E35" s="382">
        <v>0.5</v>
      </c>
      <c r="F35" s="242"/>
      <c r="G35" s="242"/>
      <c r="H35" s="242"/>
      <c r="I35" s="242"/>
      <c r="J35" s="3"/>
    </row>
    <row r="36" spans="1:11" x14ac:dyDescent="0.25">
      <c r="A36" s="3"/>
      <c r="B36" s="45" t="s">
        <v>408</v>
      </c>
      <c r="C36" s="149">
        <v>55</v>
      </c>
      <c r="D36" s="150"/>
      <c r="E36" s="150"/>
      <c r="F36" s="46">
        <v>19.36</v>
      </c>
      <c r="G36" s="46">
        <v>22.42</v>
      </c>
      <c r="H36" s="151">
        <v>1.3</v>
      </c>
      <c r="I36" s="46">
        <v>284.63</v>
      </c>
      <c r="J36" s="4" t="s">
        <v>409</v>
      </c>
    </row>
    <row r="37" spans="1:11" ht="31.5" x14ac:dyDescent="0.25">
      <c r="A37" s="3"/>
      <c r="B37" s="206" t="s">
        <v>451</v>
      </c>
      <c r="C37" s="149"/>
      <c r="D37" s="154">
        <v>109.2</v>
      </c>
      <c r="E37" s="154">
        <v>96.6</v>
      </c>
      <c r="F37" s="46"/>
      <c r="G37" s="46"/>
      <c r="H37" s="46"/>
      <c r="I37" s="46"/>
      <c r="J37" s="4" t="s">
        <v>16</v>
      </c>
    </row>
    <row r="38" spans="1:11" x14ac:dyDescent="0.25">
      <c r="A38" s="3"/>
      <c r="B38" s="134" t="s">
        <v>78</v>
      </c>
      <c r="C38" s="149"/>
      <c r="D38" s="154" t="s">
        <v>380</v>
      </c>
      <c r="E38" s="154">
        <v>10</v>
      </c>
      <c r="F38" s="46"/>
      <c r="G38" s="46"/>
      <c r="H38" s="46"/>
      <c r="I38" s="46"/>
      <c r="J38" s="3"/>
    </row>
    <row r="39" spans="1:11" x14ac:dyDescent="0.25">
      <c r="A39" s="3"/>
      <c r="B39" s="134" t="s">
        <v>332</v>
      </c>
      <c r="C39" s="149"/>
      <c r="D39" s="154"/>
      <c r="E39" s="154">
        <v>15.7</v>
      </c>
      <c r="F39" s="46"/>
      <c r="G39" s="46"/>
      <c r="H39" s="46"/>
      <c r="I39" s="46"/>
      <c r="J39" s="3"/>
    </row>
    <row r="40" spans="1:11" x14ac:dyDescent="0.25">
      <c r="A40" s="3"/>
      <c r="B40" s="134" t="s">
        <v>26</v>
      </c>
      <c r="C40" s="149"/>
      <c r="D40" s="154">
        <v>12</v>
      </c>
      <c r="E40" s="154">
        <v>12</v>
      </c>
      <c r="F40" s="46"/>
      <c r="G40" s="46"/>
      <c r="H40" s="46"/>
      <c r="I40" s="46"/>
      <c r="J40" s="3"/>
    </row>
    <row r="41" spans="1:11" x14ac:dyDescent="0.25">
      <c r="A41" s="3"/>
      <c r="B41" s="134" t="s">
        <v>410</v>
      </c>
      <c r="C41" s="149"/>
      <c r="D41" s="154">
        <v>2.6</v>
      </c>
      <c r="E41" s="154">
        <v>2.6</v>
      </c>
      <c r="F41" s="46"/>
      <c r="G41" s="46"/>
      <c r="H41" s="46"/>
      <c r="I41" s="46"/>
      <c r="J41" s="3"/>
    </row>
    <row r="42" spans="1:11" x14ac:dyDescent="0.25">
      <c r="A42" s="3"/>
      <c r="B42" s="134" t="s">
        <v>56</v>
      </c>
      <c r="C42" s="149"/>
      <c r="D42" s="154">
        <v>2.1</v>
      </c>
      <c r="E42" s="154">
        <v>2.1</v>
      </c>
      <c r="F42" s="46"/>
      <c r="G42" s="46"/>
      <c r="H42" s="46"/>
      <c r="I42" s="46"/>
      <c r="J42" s="3"/>
    </row>
    <row r="43" spans="1:11" x14ac:dyDescent="0.25">
      <c r="A43" s="3"/>
      <c r="B43" s="134" t="s">
        <v>22</v>
      </c>
      <c r="C43" s="149"/>
      <c r="D43" s="154">
        <v>2.1</v>
      </c>
      <c r="E43" s="154">
        <v>2.1</v>
      </c>
      <c r="F43" s="46"/>
      <c r="G43" s="46"/>
      <c r="H43" s="46"/>
      <c r="I43" s="46"/>
      <c r="J43" s="3"/>
    </row>
    <row r="44" spans="1:11" x14ac:dyDescent="0.25">
      <c r="A44" s="3"/>
      <c r="B44" s="134" t="s">
        <v>411</v>
      </c>
      <c r="C44" s="149"/>
      <c r="D44" s="154">
        <v>1</v>
      </c>
      <c r="E44" s="154">
        <v>1</v>
      </c>
      <c r="F44" s="46"/>
      <c r="G44" s="46"/>
      <c r="H44" s="46"/>
      <c r="I44" s="46"/>
      <c r="J44" s="3"/>
    </row>
    <row r="45" spans="1:11" x14ac:dyDescent="0.25">
      <c r="A45" s="3"/>
      <c r="B45" s="134" t="s">
        <v>20</v>
      </c>
      <c r="C45" s="149"/>
      <c r="D45" s="154">
        <v>0.3</v>
      </c>
      <c r="E45" s="154">
        <v>0.3</v>
      </c>
      <c r="F45" s="46"/>
      <c r="G45" s="46"/>
      <c r="H45" s="46"/>
      <c r="I45" s="46"/>
      <c r="J45" s="3"/>
    </row>
    <row r="46" spans="1:11" x14ac:dyDescent="0.25">
      <c r="A46" s="3"/>
      <c r="B46" s="204" t="s">
        <v>325</v>
      </c>
      <c r="C46" s="129">
        <v>110</v>
      </c>
      <c r="D46" s="80"/>
      <c r="E46" s="80"/>
      <c r="F46" s="4">
        <v>2.89</v>
      </c>
      <c r="G46" s="4">
        <v>3.88</v>
      </c>
      <c r="H46" s="4">
        <v>29.79</v>
      </c>
      <c r="I46" s="4">
        <v>165.58</v>
      </c>
      <c r="J46" s="4" t="s">
        <v>326</v>
      </c>
      <c r="K46" s="2">
        <v>130</v>
      </c>
    </row>
    <row r="47" spans="1:11" x14ac:dyDescent="0.25">
      <c r="A47" s="3"/>
      <c r="B47" s="139" t="s">
        <v>169</v>
      </c>
      <c r="C47" s="130"/>
      <c r="D47" s="140">
        <v>38.5</v>
      </c>
      <c r="E47" s="140">
        <v>38.5</v>
      </c>
      <c r="F47" s="4"/>
      <c r="G47" s="4"/>
      <c r="H47" s="4"/>
      <c r="I47" s="4"/>
      <c r="J47" s="4" t="s">
        <v>16</v>
      </c>
    </row>
    <row r="48" spans="1:11" ht="31.5" x14ac:dyDescent="0.25">
      <c r="A48" s="3"/>
      <c r="B48" s="143" t="s">
        <v>60</v>
      </c>
      <c r="C48" s="130"/>
      <c r="D48" s="140">
        <f>$C$46*5.85/$K$46</f>
        <v>4.95</v>
      </c>
      <c r="E48" s="140">
        <f>$C$46*5.85/$K$46</f>
        <v>4.95</v>
      </c>
      <c r="F48" s="4"/>
      <c r="G48" s="4"/>
      <c r="H48" s="4"/>
      <c r="I48" s="4"/>
      <c r="J48" s="4"/>
    </row>
    <row r="49" spans="1:11" x14ac:dyDescent="0.25">
      <c r="A49" s="3"/>
      <c r="B49" s="139" t="s">
        <v>27</v>
      </c>
      <c r="C49" s="130"/>
      <c r="D49" s="140">
        <v>73.7</v>
      </c>
      <c r="E49" s="140">
        <v>73.7</v>
      </c>
      <c r="F49" s="4"/>
      <c r="G49" s="4"/>
      <c r="H49" s="4"/>
      <c r="I49" s="4"/>
      <c r="J49" s="4"/>
    </row>
    <row r="50" spans="1:11" x14ac:dyDescent="0.25">
      <c r="A50" s="3"/>
      <c r="B50" s="139" t="s">
        <v>55</v>
      </c>
      <c r="C50" s="130"/>
      <c r="D50" s="140">
        <f>$C$46*2.6/$K$46</f>
        <v>2.2000000000000002</v>
      </c>
      <c r="E50" s="140">
        <f>$C$46*2.6/$K$46</f>
        <v>2.2000000000000002</v>
      </c>
      <c r="F50" s="4"/>
      <c r="G50" s="4"/>
      <c r="H50" s="4"/>
      <c r="I50" s="4"/>
      <c r="J50" s="4"/>
    </row>
    <row r="51" spans="1:11" x14ac:dyDescent="0.25">
      <c r="A51" s="3"/>
      <c r="B51" s="139" t="s">
        <v>20</v>
      </c>
      <c r="C51" s="130"/>
      <c r="D51" s="140">
        <v>0.5</v>
      </c>
      <c r="E51" s="140">
        <v>0.5</v>
      </c>
      <c r="F51" s="4"/>
      <c r="G51" s="4"/>
      <c r="H51" s="4"/>
      <c r="I51" s="4"/>
      <c r="J51" s="3"/>
    </row>
    <row r="52" spans="1:11" x14ac:dyDescent="0.25">
      <c r="A52" s="3"/>
      <c r="B52" s="97" t="s">
        <v>407</v>
      </c>
      <c r="C52" s="126">
        <v>150</v>
      </c>
      <c r="D52" s="127">
        <v>150</v>
      </c>
      <c r="E52" s="127">
        <v>150</v>
      </c>
      <c r="F52" s="126">
        <v>0</v>
      </c>
      <c r="G52" s="126">
        <v>0</v>
      </c>
      <c r="H52" s="126">
        <v>17.25</v>
      </c>
      <c r="I52" s="126">
        <v>69</v>
      </c>
      <c r="J52" s="66"/>
      <c r="K52" s="72">
        <v>200</v>
      </c>
    </row>
    <row r="53" spans="1:11" x14ac:dyDescent="0.25">
      <c r="A53" s="3"/>
      <c r="B53" s="97" t="s">
        <v>28</v>
      </c>
      <c r="C53" s="126">
        <v>10</v>
      </c>
      <c r="D53" s="122">
        <f>C53</f>
        <v>10</v>
      </c>
      <c r="E53" s="122">
        <f>C53</f>
        <v>10</v>
      </c>
      <c r="F53" s="126">
        <f>C53*1.52/20</f>
        <v>0.76</v>
      </c>
      <c r="G53" s="126">
        <f>C53*0.18/K53</f>
        <v>0.09</v>
      </c>
      <c r="H53" s="126">
        <f>C53*9.34/K53</f>
        <v>4.67</v>
      </c>
      <c r="I53" s="126">
        <f>C53*46.2/K53</f>
        <v>23.1</v>
      </c>
      <c r="J53" s="66"/>
      <c r="K53" s="72">
        <v>20</v>
      </c>
    </row>
    <row r="54" spans="1:11" ht="31.5" x14ac:dyDescent="0.25">
      <c r="A54" s="3"/>
      <c r="B54" s="125" t="s">
        <v>29</v>
      </c>
      <c r="C54" s="129">
        <v>10</v>
      </c>
      <c r="D54" s="130">
        <f>C54</f>
        <v>10</v>
      </c>
      <c r="E54" s="130">
        <f>C54</f>
        <v>10</v>
      </c>
      <c r="F54" s="129">
        <f>C54*1.54/K54</f>
        <v>0.77</v>
      </c>
      <c r="G54" s="129">
        <f>C54*0.28/K54</f>
        <v>0.14000000000000001</v>
      </c>
      <c r="H54" s="129">
        <f>C54*7.52/K54</f>
        <v>3.7599999999999993</v>
      </c>
      <c r="I54" s="129">
        <f>C54*40.2/K54</f>
        <v>20.100000000000001</v>
      </c>
      <c r="J54" s="3"/>
      <c r="K54" s="72">
        <v>20</v>
      </c>
    </row>
    <row r="55" spans="1:11" x14ac:dyDescent="0.25">
      <c r="A55" s="5" t="s">
        <v>69</v>
      </c>
      <c r="B55" s="6"/>
      <c r="C55" s="8">
        <f>SUM(C22:C54)</f>
        <v>530</v>
      </c>
      <c r="D55" s="81"/>
      <c r="E55" s="81"/>
      <c r="F55" s="165">
        <f>SUM(F22:F54)</f>
        <v>28.150000000000002</v>
      </c>
      <c r="G55" s="165">
        <f>SUM(G22:G54)</f>
        <v>29.26</v>
      </c>
      <c r="H55" s="165">
        <f>SUM(H22:H54)</f>
        <v>72.710000000000008</v>
      </c>
      <c r="I55" s="165">
        <f>SUM(I22:I54)</f>
        <v>666.71</v>
      </c>
      <c r="J55" s="6"/>
    </row>
    <row r="56" spans="1:11" ht="47.25" x14ac:dyDescent="0.25">
      <c r="A56" s="166" t="s">
        <v>70</v>
      </c>
      <c r="B56" s="393" t="s">
        <v>327</v>
      </c>
      <c r="C56" s="159">
        <v>45</v>
      </c>
      <c r="D56" s="394"/>
      <c r="E56" s="394"/>
      <c r="F56" s="105">
        <v>3.05</v>
      </c>
      <c r="G56" s="105">
        <v>2.91</v>
      </c>
      <c r="H56" s="105">
        <v>21.67</v>
      </c>
      <c r="I56" s="105">
        <v>126.99</v>
      </c>
      <c r="J56" s="4" t="s">
        <v>357</v>
      </c>
      <c r="K56" s="2">
        <v>60</v>
      </c>
    </row>
    <row r="57" spans="1:11" x14ac:dyDescent="0.25">
      <c r="A57" s="166"/>
      <c r="B57" s="395" t="s">
        <v>212</v>
      </c>
      <c r="C57" s="122"/>
      <c r="D57" s="80" t="s">
        <v>173</v>
      </c>
      <c r="E57" s="80">
        <f>C56*43/K56</f>
        <v>32.25</v>
      </c>
      <c r="F57" s="3"/>
      <c r="G57" s="3"/>
      <c r="H57" s="3"/>
      <c r="I57" s="3"/>
      <c r="J57" s="4" t="s">
        <v>16</v>
      </c>
    </row>
    <row r="58" spans="1:11" x14ac:dyDescent="0.25">
      <c r="A58" s="166"/>
      <c r="B58" s="395" t="s">
        <v>56</v>
      </c>
      <c r="C58" s="122"/>
      <c r="D58" s="80">
        <f>$C$56*27.5/$K$56</f>
        <v>20.625</v>
      </c>
      <c r="E58" s="80">
        <f>$C$56*27.5/$K$56</f>
        <v>20.625</v>
      </c>
      <c r="F58" s="3"/>
      <c r="G58" s="3"/>
      <c r="H58" s="3"/>
      <c r="I58" s="3"/>
      <c r="J58" s="4"/>
    </row>
    <row r="59" spans="1:11" x14ac:dyDescent="0.25">
      <c r="A59" s="166"/>
      <c r="B59" s="395" t="s">
        <v>19</v>
      </c>
      <c r="C59" s="122"/>
      <c r="D59" s="80">
        <f>$C$56*2/$K$56</f>
        <v>1.5</v>
      </c>
      <c r="E59" s="80">
        <f>$C$56*2/$K$56</f>
        <v>1.5</v>
      </c>
      <c r="F59" s="3"/>
      <c r="G59" s="3"/>
      <c r="H59" s="3"/>
      <c r="I59" s="3"/>
      <c r="J59" s="4"/>
    </row>
    <row r="60" spans="1:11" x14ac:dyDescent="0.25">
      <c r="A60" s="166"/>
      <c r="B60" s="395" t="s">
        <v>22</v>
      </c>
      <c r="C60" s="122"/>
      <c r="D60" s="80">
        <f>$C$56*3/$K$56</f>
        <v>2.25</v>
      </c>
      <c r="E60" s="80">
        <f>$C$56*3/$K$56</f>
        <v>2.25</v>
      </c>
      <c r="F60" s="3"/>
      <c r="G60" s="3"/>
      <c r="H60" s="3"/>
      <c r="I60" s="3"/>
      <c r="J60" s="4"/>
    </row>
    <row r="61" spans="1:11" x14ac:dyDescent="0.25">
      <c r="A61" s="166"/>
      <c r="B61" s="395" t="s">
        <v>191</v>
      </c>
      <c r="C61" s="122"/>
      <c r="D61" s="80" t="s">
        <v>379</v>
      </c>
      <c r="E61" s="80">
        <f>$C$56*3/$K$56</f>
        <v>2.25</v>
      </c>
      <c r="F61" s="122"/>
      <c r="G61" s="126"/>
      <c r="H61" s="126"/>
      <c r="I61" s="126"/>
      <c r="J61" s="4"/>
    </row>
    <row r="62" spans="1:11" x14ac:dyDescent="0.25">
      <c r="A62" s="166"/>
      <c r="B62" s="395" t="s">
        <v>20</v>
      </c>
      <c r="C62" s="122"/>
      <c r="D62" s="127">
        <f>$C$56*0.3/$K$56</f>
        <v>0.22500000000000001</v>
      </c>
      <c r="E62" s="127">
        <f>$C$56*0.3/$K$56</f>
        <v>0.22500000000000001</v>
      </c>
      <c r="F62" s="122"/>
      <c r="G62" s="126"/>
      <c r="H62" s="126"/>
      <c r="I62" s="126"/>
      <c r="J62" s="4"/>
    </row>
    <row r="63" spans="1:11" ht="31.5" x14ac:dyDescent="0.25">
      <c r="A63" s="166"/>
      <c r="B63" s="395" t="s">
        <v>171</v>
      </c>
      <c r="C63" s="122"/>
      <c r="D63" s="127">
        <v>0.77</v>
      </c>
      <c r="E63" s="127">
        <v>0.77</v>
      </c>
      <c r="F63" s="122"/>
      <c r="G63" s="126"/>
      <c r="H63" s="126"/>
      <c r="I63" s="126"/>
      <c r="J63" s="4"/>
    </row>
    <row r="64" spans="1:11" x14ac:dyDescent="0.25">
      <c r="A64" s="166"/>
      <c r="B64" s="395" t="s">
        <v>26</v>
      </c>
      <c r="C64" s="122"/>
      <c r="D64" s="127">
        <f>$C$56*7.4/$K$56</f>
        <v>5.55</v>
      </c>
      <c r="E64" s="127">
        <f>$C$56*7.4/$K$56</f>
        <v>5.55</v>
      </c>
      <c r="F64" s="122"/>
      <c r="G64" s="126"/>
      <c r="H64" s="126"/>
      <c r="I64" s="126"/>
      <c r="J64" s="4"/>
    </row>
    <row r="65" spans="1:10" x14ac:dyDescent="0.25">
      <c r="A65" s="166"/>
      <c r="B65" s="395" t="s">
        <v>213</v>
      </c>
      <c r="C65" s="122"/>
      <c r="D65" s="80">
        <f>$C$56*0.9/$K$56</f>
        <v>0.67500000000000004</v>
      </c>
      <c r="E65" s="80">
        <f>$C$56*0.9/$K$56</f>
        <v>0.67500000000000004</v>
      </c>
      <c r="F65" s="122"/>
      <c r="G65" s="126"/>
      <c r="H65" s="126"/>
      <c r="I65" s="126"/>
      <c r="J65" s="4"/>
    </row>
    <row r="66" spans="1:10" x14ac:dyDescent="0.25">
      <c r="A66" s="166"/>
      <c r="B66" s="395" t="s">
        <v>328</v>
      </c>
      <c r="C66" s="122"/>
      <c r="D66" s="127" t="s">
        <v>173</v>
      </c>
      <c r="E66" s="127">
        <f>C56*25/K56</f>
        <v>18.75</v>
      </c>
      <c r="F66" s="122"/>
      <c r="G66" s="126"/>
      <c r="H66" s="126"/>
      <c r="I66" s="126"/>
      <c r="J66" s="4" t="s">
        <v>360</v>
      </c>
    </row>
    <row r="67" spans="1:10" x14ac:dyDescent="0.25">
      <c r="A67" s="166"/>
      <c r="B67" s="395" t="s">
        <v>48</v>
      </c>
      <c r="C67" s="122"/>
      <c r="D67" s="127">
        <f>C56*34/K56</f>
        <v>25.5</v>
      </c>
      <c r="E67" s="127">
        <f>C56*27.2/K56</f>
        <v>20.399999999999999</v>
      </c>
      <c r="F67" s="122"/>
      <c r="G67" s="126"/>
      <c r="H67" s="126"/>
      <c r="I67" s="126"/>
      <c r="J67" s="4" t="s">
        <v>16</v>
      </c>
    </row>
    <row r="68" spans="1:10" ht="31.5" x14ac:dyDescent="0.25">
      <c r="A68" s="166"/>
      <c r="B68" s="395" t="s">
        <v>329</v>
      </c>
      <c r="C68" s="122"/>
      <c r="D68" s="127" t="s">
        <v>173</v>
      </c>
      <c r="E68" s="127">
        <f>C56*25/K56</f>
        <v>18.75</v>
      </c>
      <c r="F68" s="122"/>
      <c r="G68" s="126"/>
      <c r="H68" s="126"/>
      <c r="I68" s="126"/>
      <c r="J68" s="171"/>
    </row>
    <row r="69" spans="1:10" x14ac:dyDescent="0.25">
      <c r="A69" s="166"/>
      <c r="B69" s="395" t="s">
        <v>19</v>
      </c>
      <c r="C69" s="122"/>
      <c r="D69" s="127">
        <f>$C$56*0.25/$K$56</f>
        <v>0.1875</v>
      </c>
      <c r="E69" s="127">
        <f>$C$56*0.25/$K$56</f>
        <v>0.1875</v>
      </c>
      <c r="F69" s="122"/>
      <c r="G69" s="126"/>
      <c r="H69" s="126"/>
      <c r="I69" s="126"/>
      <c r="J69" s="171"/>
    </row>
    <row r="70" spans="1:10" x14ac:dyDescent="0.25">
      <c r="A70" s="166"/>
      <c r="B70" s="395" t="s">
        <v>22</v>
      </c>
      <c r="C70" s="122"/>
      <c r="D70" s="127">
        <f>$C$56*1.25/$K$56</f>
        <v>0.9375</v>
      </c>
      <c r="E70" s="127">
        <f>$C$56*1.25/$K$56</f>
        <v>0.9375</v>
      </c>
      <c r="F70" s="122"/>
      <c r="G70" s="126"/>
      <c r="H70" s="126"/>
      <c r="I70" s="126"/>
      <c r="J70" s="171"/>
    </row>
    <row r="71" spans="1:10" ht="47.25" x14ac:dyDescent="0.25">
      <c r="A71" s="166"/>
      <c r="B71" s="395" t="s">
        <v>175</v>
      </c>
      <c r="C71" s="122"/>
      <c r="D71" s="80">
        <f>$C$56*0.9/$K$56</f>
        <v>0.67500000000000004</v>
      </c>
      <c r="E71" s="80">
        <f>$C$56*0.9/$K$56</f>
        <v>0.67500000000000004</v>
      </c>
      <c r="F71" s="122"/>
      <c r="G71" s="122"/>
      <c r="H71" s="122"/>
      <c r="I71" s="122"/>
      <c r="J71" s="171"/>
    </row>
    <row r="72" spans="1:10" ht="31.5" x14ac:dyDescent="0.25">
      <c r="A72" s="166"/>
      <c r="B72" s="395" t="s">
        <v>216</v>
      </c>
      <c r="C72" s="122"/>
      <c r="D72" s="80" t="s">
        <v>375</v>
      </c>
      <c r="E72" s="80">
        <f>C56*1.3/K56</f>
        <v>0.97499999999999998</v>
      </c>
      <c r="F72" s="122"/>
      <c r="G72" s="122"/>
      <c r="H72" s="122"/>
      <c r="I72" s="122"/>
      <c r="J72" s="171"/>
    </row>
    <row r="73" spans="1:10" ht="31.5" x14ac:dyDescent="0.25">
      <c r="A73" s="166"/>
      <c r="B73" s="172" t="s">
        <v>151</v>
      </c>
      <c r="C73" s="173">
        <v>180</v>
      </c>
      <c r="D73" s="271">
        <v>189</v>
      </c>
      <c r="E73" s="271">
        <f>C73</f>
        <v>180</v>
      </c>
      <c r="F73" s="175">
        <v>5.0199999999999996</v>
      </c>
      <c r="G73" s="175">
        <v>5.74</v>
      </c>
      <c r="H73" s="175">
        <v>8.44</v>
      </c>
      <c r="I73" s="175">
        <v>105.57</v>
      </c>
      <c r="J73" s="396" t="s">
        <v>441</v>
      </c>
    </row>
    <row r="74" spans="1:10" x14ac:dyDescent="0.25">
      <c r="A74" s="5" t="s">
        <v>72</v>
      </c>
      <c r="B74" s="6"/>
      <c r="C74" s="8">
        <f>SUM(C56:C73)</f>
        <v>225</v>
      </c>
      <c r="D74" s="81"/>
      <c r="E74" s="81"/>
      <c r="F74" s="165">
        <f>SUM(F56:F73)</f>
        <v>8.07</v>
      </c>
      <c r="G74" s="165">
        <f>SUM(G56:G73)</f>
        <v>8.65</v>
      </c>
      <c r="H74" s="165">
        <f>SUM(H56:H73)</f>
        <v>30.11</v>
      </c>
      <c r="I74" s="165">
        <f>SUM(I56:I73)</f>
        <v>232.56</v>
      </c>
      <c r="J74" s="6"/>
    </row>
    <row r="75" spans="1:10" x14ac:dyDescent="0.25">
      <c r="A75" s="166" t="s">
        <v>73</v>
      </c>
      <c r="B75" s="97" t="s">
        <v>321</v>
      </c>
      <c r="C75" s="126">
        <v>40</v>
      </c>
      <c r="D75" s="127"/>
      <c r="E75" s="127"/>
      <c r="F75" s="105">
        <v>3.62</v>
      </c>
      <c r="G75" s="105">
        <v>5.72</v>
      </c>
      <c r="H75" s="105">
        <v>1.31</v>
      </c>
      <c r="I75" s="105">
        <v>71.52</v>
      </c>
      <c r="J75" s="46" t="s">
        <v>149</v>
      </c>
    </row>
    <row r="76" spans="1:10" x14ac:dyDescent="0.25">
      <c r="A76" s="46"/>
      <c r="B76" s="66" t="s">
        <v>322</v>
      </c>
      <c r="C76" s="126"/>
      <c r="D76" s="127">
        <v>20</v>
      </c>
      <c r="E76" s="127">
        <v>20</v>
      </c>
      <c r="F76" s="105"/>
      <c r="G76" s="105"/>
      <c r="H76" s="105"/>
      <c r="I76" s="105"/>
      <c r="J76" s="46" t="s">
        <v>217</v>
      </c>
    </row>
    <row r="77" spans="1:10" x14ac:dyDescent="0.25">
      <c r="A77" s="46"/>
      <c r="B77" s="66" t="s">
        <v>205</v>
      </c>
      <c r="C77" s="126"/>
      <c r="D77" s="127">
        <v>19.2</v>
      </c>
      <c r="E77" s="127">
        <v>16</v>
      </c>
      <c r="F77" s="105"/>
      <c r="G77" s="105"/>
      <c r="H77" s="105"/>
      <c r="I77" s="105"/>
      <c r="J77" s="46"/>
    </row>
    <row r="78" spans="1:10" x14ac:dyDescent="0.25">
      <c r="A78" s="46"/>
      <c r="B78" s="66" t="s">
        <v>37</v>
      </c>
      <c r="C78" s="126"/>
      <c r="D78" s="127">
        <v>4</v>
      </c>
      <c r="E78" s="127">
        <v>4</v>
      </c>
      <c r="F78" s="105"/>
      <c r="G78" s="105"/>
      <c r="H78" s="105"/>
      <c r="I78" s="105"/>
      <c r="J78" s="46"/>
    </row>
    <row r="79" spans="1:10" x14ac:dyDescent="0.25">
      <c r="A79" s="3"/>
      <c r="B79" s="45" t="s">
        <v>385</v>
      </c>
      <c r="C79" s="126">
        <v>60</v>
      </c>
      <c r="D79" s="127"/>
      <c r="E79" s="127"/>
      <c r="F79" s="46">
        <v>8.32</v>
      </c>
      <c r="G79" s="46">
        <v>9.2200000000000006</v>
      </c>
      <c r="H79" s="151">
        <v>2.11</v>
      </c>
      <c r="I79" s="46">
        <v>124.91</v>
      </c>
      <c r="J79" s="46" t="s">
        <v>386</v>
      </c>
    </row>
    <row r="80" spans="1:10" ht="47.25" x14ac:dyDescent="0.25">
      <c r="A80" s="3"/>
      <c r="B80" s="152" t="s">
        <v>269</v>
      </c>
      <c r="C80" s="126"/>
      <c r="D80" s="127">
        <v>57.3</v>
      </c>
      <c r="E80" s="127">
        <v>52.14</v>
      </c>
      <c r="F80" s="46"/>
      <c r="G80" s="46"/>
      <c r="H80" s="151"/>
      <c r="I80" s="46"/>
      <c r="J80" s="46" t="s">
        <v>217</v>
      </c>
    </row>
    <row r="81" spans="1:20" ht="31.5" x14ac:dyDescent="0.25">
      <c r="A81" s="3"/>
      <c r="B81" s="152" t="s">
        <v>50</v>
      </c>
      <c r="C81" s="126"/>
      <c r="D81" s="127">
        <v>3</v>
      </c>
      <c r="E81" s="127">
        <v>3</v>
      </c>
      <c r="F81" s="46"/>
      <c r="G81" s="46"/>
      <c r="H81" s="151"/>
      <c r="I81" s="46"/>
      <c r="J81" s="46"/>
    </row>
    <row r="82" spans="1:20" x14ac:dyDescent="0.25">
      <c r="A82" s="3"/>
      <c r="B82" s="152" t="s">
        <v>205</v>
      </c>
      <c r="C82" s="126"/>
      <c r="D82" s="127">
        <v>6.48</v>
      </c>
      <c r="E82" s="127">
        <v>5.4</v>
      </c>
      <c r="F82" s="46"/>
      <c r="G82" s="46"/>
      <c r="H82" s="151"/>
      <c r="I82" s="46"/>
      <c r="J82" s="46"/>
    </row>
    <row r="83" spans="1:20" x14ac:dyDescent="0.25">
      <c r="A83" s="3"/>
      <c r="B83" s="152" t="s">
        <v>55</v>
      </c>
      <c r="C83" s="126"/>
      <c r="D83" s="127">
        <v>1.62</v>
      </c>
      <c r="E83" s="127">
        <v>1.62</v>
      </c>
      <c r="F83" s="46"/>
      <c r="G83" s="46"/>
      <c r="H83" s="151"/>
      <c r="I83" s="46"/>
      <c r="J83" s="46"/>
    </row>
    <row r="84" spans="1:20" x14ac:dyDescent="0.25">
      <c r="A84" s="3"/>
      <c r="B84" s="152" t="s">
        <v>160</v>
      </c>
      <c r="C84" s="126"/>
      <c r="D84" s="127">
        <v>1</v>
      </c>
      <c r="E84" s="127">
        <v>1</v>
      </c>
      <c r="F84" s="46"/>
      <c r="G84" s="46"/>
      <c r="H84" s="151"/>
      <c r="I84" s="46"/>
      <c r="J84" s="46"/>
    </row>
    <row r="85" spans="1:20" x14ac:dyDescent="0.25">
      <c r="A85" s="3"/>
      <c r="B85" s="152" t="s">
        <v>56</v>
      </c>
      <c r="C85" s="126"/>
      <c r="D85" s="127">
        <v>1.35</v>
      </c>
      <c r="E85" s="127">
        <v>1.35</v>
      </c>
      <c r="F85" s="46"/>
      <c r="G85" s="46"/>
      <c r="H85" s="151"/>
      <c r="I85" s="46"/>
      <c r="J85" s="46"/>
    </row>
    <row r="86" spans="1:20" x14ac:dyDescent="0.25">
      <c r="A86" s="3"/>
      <c r="B86" s="152" t="s">
        <v>20</v>
      </c>
      <c r="C86" s="126"/>
      <c r="D86" s="127">
        <v>0.3</v>
      </c>
      <c r="E86" s="127">
        <v>0.3</v>
      </c>
      <c r="F86" s="46"/>
      <c r="G86" s="46"/>
      <c r="H86" s="151"/>
      <c r="I86" s="46"/>
      <c r="J86" s="46"/>
    </row>
    <row r="87" spans="1:20" ht="31.5" x14ac:dyDescent="0.25">
      <c r="A87" s="3"/>
      <c r="B87" s="152" t="s">
        <v>57</v>
      </c>
      <c r="C87" s="126"/>
      <c r="D87" s="127"/>
      <c r="E87" s="127">
        <v>33</v>
      </c>
      <c r="F87" s="46"/>
      <c r="G87" s="46"/>
      <c r="H87" s="151"/>
      <c r="I87" s="46"/>
      <c r="J87" s="46"/>
    </row>
    <row r="88" spans="1:20" x14ac:dyDescent="0.25">
      <c r="A88" s="3"/>
      <c r="B88" s="152" t="s">
        <v>58</v>
      </c>
      <c r="C88" s="126"/>
      <c r="D88" s="127"/>
      <c r="E88" s="127">
        <v>27</v>
      </c>
      <c r="F88" s="46"/>
      <c r="G88" s="46"/>
      <c r="H88" s="151"/>
      <c r="I88" s="46"/>
      <c r="J88" s="46"/>
    </row>
    <row r="89" spans="1:20" ht="31.5" x14ac:dyDescent="0.25">
      <c r="A89" s="166"/>
      <c r="B89" s="45" t="s">
        <v>222</v>
      </c>
      <c r="C89" s="129">
        <v>110</v>
      </c>
      <c r="D89" s="76"/>
      <c r="E89" s="76"/>
      <c r="F89" s="4">
        <v>2.29</v>
      </c>
      <c r="G89" s="4">
        <v>5.15</v>
      </c>
      <c r="H89" s="4">
        <v>19.95</v>
      </c>
      <c r="I89" s="4">
        <v>133.80000000000001</v>
      </c>
      <c r="J89" s="155" t="s">
        <v>223</v>
      </c>
      <c r="K89" s="67"/>
      <c r="L89" s="101"/>
      <c r="M89" s="102"/>
      <c r="N89" s="102"/>
      <c r="O89" s="102"/>
      <c r="P89" s="103"/>
      <c r="Q89" s="103"/>
      <c r="R89" s="103"/>
      <c r="S89" s="103"/>
      <c r="T89" s="158"/>
    </row>
    <row r="90" spans="1:20" ht="18" customHeight="1" x14ac:dyDescent="0.25">
      <c r="A90" s="166"/>
      <c r="B90" s="134" t="s">
        <v>86</v>
      </c>
      <c r="C90" s="130"/>
      <c r="D90" s="140">
        <v>145.19999999999999</v>
      </c>
      <c r="E90" s="140">
        <v>108.9</v>
      </c>
      <c r="F90" s="4"/>
      <c r="G90" s="4"/>
      <c r="H90" s="4"/>
      <c r="I90" s="4"/>
      <c r="J90" s="4" t="s">
        <v>16</v>
      </c>
      <c r="K90" s="67"/>
      <c r="L90" s="325"/>
      <c r="M90" s="215"/>
      <c r="N90" s="215"/>
      <c r="O90" s="215"/>
      <c r="P90" s="69"/>
      <c r="Q90" s="69"/>
      <c r="R90" s="69"/>
      <c r="S90" s="69"/>
      <c r="T90" s="94"/>
    </row>
    <row r="91" spans="1:20" ht="24.75" customHeight="1" x14ac:dyDescent="0.25">
      <c r="A91" s="166"/>
      <c r="B91" s="134" t="s">
        <v>22</v>
      </c>
      <c r="C91" s="130"/>
      <c r="D91" s="140">
        <v>4.95</v>
      </c>
      <c r="E91" s="140">
        <v>4.95</v>
      </c>
      <c r="F91" s="4"/>
      <c r="G91" s="4"/>
      <c r="H91" s="4"/>
      <c r="I91" s="4"/>
      <c r="J91" s="3"/>
      <c r="L91" s="325"/>
      <c r="M91" s="215"/>
      <c r="N91" s="215"/>
      <c r="O91" s="215"/>
      <c r="P91" s="69"/>
      <c r="Q91" s="69"/>
      <c r="R91" s="69"/>
      <c r="S91" s="69"/>
      <c r="T91" s="162"/>
    </row>
    <row r="92" spans="1:20" x14ac:dyDescent="0.25">
      <c r="A92" s="166"/>
      <c r="B92" s="139" t="s">
        <v>20</v>
      </c>
      <c r="C92" s="130"/>
      <c r="D92" s="140">
        <v>0.3</v>
      </c>
      <c r="E92" s="140">
        <v>0.3</v>
      </c>
      <c r="F92" s="4"/>
      <c r="G92" s="4"/>
      <c r="H92" s="4"/>
      <c r="I92" s="4"/>
      <c r="J92" s="3"/>
    </row>
    <row r="93" spans="1:20" ht="31.5" x14ac:dyDescent="0.25">
      <c r="A93" s="3"/>
      <c r="B93" s="15" t="s">
        <v>224</v>
      </c>
      <c r="C93" s="129">
        <v>180</v>
      </c>
      <c r="D93" s="80"/>
      <c r="E93" s="80"/>
      <c r="F93" s="46">
        <v>0.108</v>
      </c>
      <c r="G93" s="46">
        <v>0</v>
      </c>
      <c r="H93" s="46">
        <v>20.36</v>
      </c>
      <c r="I93" s="46">
        <v>79.42</v>
      </c>
      <c r="J93" s="275"/>
    </row>
    <row r="94" spans="1:20" x14ac:dyDescent="0.25">
      <c r="A94" s="3"/>
      <c r="B94" s="3" t="s">
        <v>225</v>
      </c>
      <c r="C94" s="130"/>
      <c r="D94" s="80">
        <v>22.5</v>
      </c>
      <c r="E94" s="80">
        <v>22.5</v>
      </c>
      <c r="F94" s="4"/>
      <c r="G94" s="4"/>
      <c r="H94" s="4"/>
      <c r="I94" s="4"/>
      <c r="J94" s="275"/>
    </row>
    <row r="95" spans="1:20" x14ac:dyDescent="0.25">
      <c r="A95" s="3"/>
      <c r="B95" s="3" t="s">
        <v>197</v>
      </c>
      <c r="C95" s="130"/>
      <c r="D95" s="80">
        <v>166.5</v>
      </c>
      <c r="E95" s="80">
        <v>166.5</v>
      </c>
      <c r="F95" s="4"/>
      <c r="G95" s="4"/>
      <c r="H95" s="4"/>
      <c r="I95" s="4"/>
      <c r="J95" s="3"/>
    </row>
    <row r="96" spans="1:20" x14ac:dyDescent="0.25">
      <c r="A96" s="3"/>
      <c r="B96" s="97"/>
      <c r="C96" s="126"/>
      <c r="D96" s="127"/>
      <c r="E96" s="127"/>
      <c r="F96" s="126"/>
      <c r="G96" s="126"/>
      <c r="H96" s="126"/>
      <c r="I96" s="126"/>
      <c r="J96" s="3"/>
      <c r="K96" s="2">
        <v>100</v>
      </c>
    </row>
    <row r="97" spans="1:11" x14ac:dyDescent="0.25">
      <c r="B97" s="97" t="s">
        <v>28</v>
      </c>
      <c r="C97" s="129">
        <v>30</v>
      </c>
      <c r="D97" s="130">
        <f>C97</f>
        <v>30</v>
      </c>
      <c r="E97" s="130">
        <f>C97</f>
        <v>30</v>
      </c>
      <c r="F97" s="126">
        <f>C97*1.52/20</f>
        <v>2.2800000000000002</v>
      </c>
      <c r="G97" s="126">
        <f>C97*0.18/K97</f>
        <v>0.26999999999999996</v>
      </c>
      <c r="H97" s="126">
        <f>C97*9.34/K97</f>
        <v>14.01</v>
      </c>
      <c r="I97" s="126">
        <f>C97*46.2/K97</f>
        <v>69.3</v>
      </c>
      <c r="J97" s="3"/>
      <c r="K97" s="72">
        <v>20</v>
      </c>
    </row>
    <row r="98" spans="1:11" x14ac:dyDescent="0.25">
      <c r="A98" s="3"/>
      <c r="B98" s="125" t="s">
        <v>84</v>
      </c>
      <c r="C98" s="129">
        <v>20</v>
      </c>
      <c r="D98" s="80">
        <f>C98</f>
        <v>20</v>
      </c>
      <c r="E98" s="80">
        <f>C98</f>
        <v>20</v>
      </c>
      <c r="F98" s="129">
        <f>C98*1.54/K98</f>
        <v>1.54</v>
      </c>
      <c r="G98" s="129">
        <f>C98*0.28/K98</f>
        <v>0.28000000000000003</v>
      </c>
      <c r="H98" s="129">
        <f>C98*7.52/K98</f>
        <v>7.5199999999999987</v>
      </c>
      <c r="I98" s="129">
        <f>C98*40.2/K98</f>
        <v>40.200000000000003</v>
      </c>
      <c r="J98" s="3"/>
      <c r="K98" s="72">
        <v>20</v>
      </c>
    </row>
    <row r="99" spans="1:11" x14ac:dyDescent="0.25">
      <c r="A99" s="5" t="s">
        <v>81</v>
      </c>
      <c r="B99" s="5"/>
      <c r="C99" s="8">
        <f>SUM(C79:C98)</f>
        <v>400</v>
      </c>
      <c r="D99" s="225"/>
      <c r="E99" s="225"/>
      <c r="F99" s="225">
        <f>SUM(F75:F98)</f>
        <v>18.158000000000001</v>
      </c>
      <c r="G99" s="225">
        <f>SUM(G75:G98)</f>
        <v>20.640000000000004</v>
      </c>
      <c r="H99" s="225">
        <f>SUM(H75:H98)</f>
        <v>65.259999999999991</v>
      </c>
      <c r="I99" s="225">
        <f>SUM(I75:I98)</f>
        <v>519.15000000000009</v>
      </c>
      <c r="J99" s="5"/>
    </row>
    <row r="100" spans="1:11" x14ac:dyDescent="0.25">
      <c r="A100" s="13" t="s">
        <v>82</v>
      </c>
      <c r="B100" s="13"/>
      <c r="C100" s="13"/>
      <c r="D100" s="68"/>
      <c r="E100" s="68"/>
      <c r="F100" s="68">
        <f>F19+F21+F55+F74+F99</f>
        <v>73.717999999999989</v>
      </c>
      <c r="G100" s="68">
        <f>G19+G21+G55+G74+G99</f>
        <v>83.070000000000007</v>
      </c>
      <c r="H100" s="68">
        <f>H19+H21+H55+H74+H99</f>
        <v>204.01999999999998</v>
      </c>
      <c r="I100" s="68">
        <f>I19+I21+I55+I74+I99</f>
        <v>1862.5800000000002</v>
      </c>
      <c r="J100" s="13"/>
    </row>
    <row r="101" spans="1:11" ht="16.5" thickBot="1" x14ac:dyDescent="0.3"/>
    <row r="102" spans="1:11" ht="16.5" thickBot="1" x14ac:dyDescent="0.3">
      <c r="A102" s="182" t="s">
        <v>131</v>
      </c>
      <c r="B102" s="183" t="s">
        <v>132</v>
      </c>
      <c r="C102" s="184" t="s">
        <v>133</v>
      </c>
      <c r="D102" s="278" t="s">
        <v>134</v>
      </c>
      <c r="E102" s="397"/>
      <c r="F102" s="398"/>
      <c r="G102" s="398"/>
      <c r="H102" s="398"/>
    </row>
    <row r="103" spans="1:11" x14ac:dyDescent="0.25">
      <c r="A103" s="187" t="s">
        <v>135</v>
      </c>
      <c r="B103" s="188">
        <f>I19</f>
        <v>399.16</v>
      </c>
      <c r="C103" s="189">
        <f>B103/B108*100</f>
        <v>21.430488891752301</v>
      </c>
      <c r="D103" s="190">
        <v>0.2</v>
      </c>
      <c r="E103" s="280"/>
      <c r="F103" s="70"/>
      <c r="G103" s="191"/>
      <c r="H103" s="192"/>
    </row>
    <row r="104" spans="1:11" x14ac:dyDescent="0.25">
      <c r="A104" s="187" t="s">
        <v>136</v>
      </c>
      <c r="B104" s="188">
        <f>I21</f>
        <v>45</v>
      </c>
      <c r="C104" s="189">
        <f>B104/B108*100</f>
        <v>2.416003607898721</v>
      </c>
      <c r="D104" s="190">
        <v>0.05</v>
      </c>
      <c r="E104" s="280"/>
      <c r="F104" s="70"/>
      <c r="G104" s="191"/>
      <c r="H104" s="192"/>
    </row>
    <row r="105" spans="1:11" x14ac:dyDescent="0.25">
      <c r="A105" s="193" t="s">
        <v>137</v>
      </c>
      <c r="B105" s="194">
        <f>I55</f>
        <v>666.71</v>
      </c>
      <c r="C105" s="195">
        <f>B105/B108*100</f>
        <v>35.794972564936806</v>
      </c>
      <c r="D105" s="196">
        <v>0.35</v>
      </c>
      <c r="E105" s="280"/>
      <c r="F105" s="70"/>
      <c r="G105" s="191"/>
      <c r="H105" s="157"/>
    </row>
    <row r="106" spans="1:11" x14ac:dyDescent="0.25">
      <c r="A106" s="193" t="s">
        <v>138</v>
      </c>
      <c r="B106" s="194">
        <f>I74</f>
        <v>232.56</v>
      </c>
      <c r="C106" s="195">
        <f>B106/B108*100</f>
        <v>12.48590664562059</v>
      </c>
      <c r="D106" s="196">
        <v>0.15</v>
      </c>
      <c r="E106" s="280"/>
      <c r="F106" s="70"/>
      <c r="G106" s="191"/>
      <c r="H106" s="192"/>
    </row>
    <row r="107" spans="1:11" ht="16.5" thickBot="1" x14ac:dyDescent="0.3">
      <c r="A107" s="193" t="s">
        <v>139</v>
      </c>
      <c r="B107" s="194">
        <f>I99</f>
        <v>519.15000000000009</v>
      </c>
      <c r="C107" s="195">
        <f>B107/B108*100</f>
        <v>27.872628289791585</v>
      </c>
      <c r="D107" s="196">
        <v>0.25</v>
      </c>
      <c r="E107" s="280"/>
      <c r="F107" s="70"/>
      <c r="G107" s="191"/>
      <c r="H107" s="192"/>
    </row>
    <row r="108" spans="1:11" ht="16.5" thickBot="1" x14ac:dyDescent="0.3">
      <c r="A108" s="197" t="s">
        <v>140</v>
      </c>
      <c r="B108" s="198">
        <f>SUM(B103:B107)</f>
        <v>1862.5800000000002</v>
      </c>
      <c r="C108" s="199"/>
      <c r="D108" s="281"/>
      <c r="E108" s="280"/>
      <c r="F108" s="70"/>
      <c r="G108" s="70"/>
      <c r="H108" s="70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день 1</vt:lpstr>
      <vt:lpstr>день 2</vt:lpstr>
      <vt:lpstr>день 4</vt:lpstr>
      <vt:lpstr>день 3</vt:lpstr>
      <vt:lpstr>день 5</vt:lpstr>
      <vt:lpstr>день 6</vt:lpstr>
      <vt:lpstr>день 7</vt:lpstr>
      <vt:lpstr>день 8</vt:lpstr>
      <vt:lpstr>день 9</vt:lpstr>
      <vt:lpstr>день 10</vt:lpstr>
      <vt:lpstr>нормы</vt:lpstr>
      <vt:lpstr>БЖУ</vt:lpstr>
      <vt:lpstr>% соотн по приемам пищи</vt:lpstr>
      <vt:lpstr>Лист1</vt:lpstr>
      <vt:lpstr>'день 1'!Область_печати</vt:lpstr>
      <vt:lpstr>'день 10'!Область_печати</vt:lpstr>
      <vt:lpstr>'день 3'!Область_печати</vt:lpstr>
      <vt:lpstr>'день 4'!Область_печати</vt:lpstr>
      <vt:lpstr>'день 5'!Область_печати</vt:lpstr>
      <vt:lpstr>'день 7'!Область_печати</vt:lpstr>
      <vt:lpstr>'день 8'!Область_печати</vt:lpstr>
      <vt:lpstr>'день 9'!Область_печати</vt:lpstr>
      <vt:lpstr>нормы!Область_печати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2021-11-17T04:00:06Z</dcterms:modified>
</cp:coreProperties>
</file>